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QgiVCigQye8p/T9d587kHbRDFDxKwpjE16r4ws3aBZot45k+G78q7VgPk3vd/H4iwOd5hmTBsjRJ4TrSfc2wng==" workbookSaltValue="YNBknN/qh7F9+17RMqcK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C12" i="14"/>
  <c r="K12" i="14" s="1"/>
  <c r="AB13" i="21"/>
  <c r="B9" i="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<sst xmlns="http://schemas.openxmlformats.org/spreadsheetml/2006/main" count="2102" uniqueCount="918">
  <si>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</si>
  <si>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</si>
  <si>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</si>
  <si>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</si>
  <si>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</si>
  <si>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</si>
  <si>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</si>
  <si>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</si>
  <si>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</si>
  <si>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</si>
  <si>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</si>
  <si>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</si>
  <si>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</si>
  <si>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</si>
  <si>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</si>
  <si>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</si>
  <si>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</si>
  <si>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</si>
  <si>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</si>
  <si>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</si>
  <si>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</si>
  <si>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</si>
  <si>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</si>
  <si>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</si>
  <si>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</si>
  <si>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</si>
  <si>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</si>
  <si>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</si>
  <si>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</si>
  <si>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</si>
  <si>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</si>
  <si>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</si>
  <si>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</si>
  <si>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</si>
  <si>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</si>
  <si>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</si>
  <si>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</si>
  <si>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</si>
  <si>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</si>
  <si>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</si>
  <si>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</si>
  <si>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</si>
  <si>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</si>
  <si>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</si>
  <si>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</si>
  <si>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</si>
  <si>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</si>
  <si>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</si>
  <si>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</si>
  <si>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</si>
  <si>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</si>
  <si>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</si>
  <si>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</si>
  <si>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</si>
  <si>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</si>
  <si>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</si>
  <si>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</si>
  <si>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</si>
  <si>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</si>
  <si>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</si>
  <si>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</si>
  <si>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</si>
  <si>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</si>
  <si>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</si>
  <si>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</si>
  <si>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</si>
  <si>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</si>
  <si>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</si>
  <si>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</si>
  <si>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</si>
  <si>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</si>
  <si>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</si>
  <si>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</si>
  <si>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</si>
  <si>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</si>
  <si>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</si>
  <si>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</si>
  <si>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</si>
  <si>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</si>
  <si>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</si>
  <si>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</si>
  <si>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</si>
  <si>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</si>
  <si>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</si>
  <si>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</si>
  <si>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</si>
  <si>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</si>
  <si>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</si>
  <si>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</si>
  <si>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</si>
  <si>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</si>
  <si>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</si>
  <si>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</si>
  <si>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</si>
  <si>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</si>
  <si>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</si>
  <si>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</si>
  <si>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</si>
  <si>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</si>
  <si>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</si>
  <si>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</si>
  <si>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</si>
  <si>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</si>
  <si>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</si>
  <si>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</si>
  <si>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</si>
  <si>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</si>
  <si>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</si>
  <si>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</si>
  <si>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</si>
  <si>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</si>
  <si>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</si>
  <si>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</si>
  <si>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</si>
  <si>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</si>
  <si>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</si>
  <si>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</si>
  <si>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</si>
  <si>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</si>
  <si>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</si>
  <si>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</si>
  <si>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</si>
  <si>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</si>
  <si>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</si>
  <si>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</si>
  <si>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</si>
  <si>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</si>
  <si>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</si>
  <si>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</si>
  <si>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</si>
  <si>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</si>
  <si>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</si>
  <si>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</si>
  <si>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</si>
  <si>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</si>
  <si>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</si>
  <si>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</si>
  <si>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</si>
  <si>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</si>
  <si>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</si>
  <si>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</si>
  <si>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</si>
  <si>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</si>
  <si>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</si>
  <si>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</si>
  <si>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</si>
  <si>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</si>
  <si>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</si>
  <si>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</si>
  <si>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</si>
  <si>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</si>
  <si>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</si>
  <si>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</si>
  <si>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</si>
  <si>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</si>
  <si>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</si>
  <si>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</si>
  <si>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</si>
  <si>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</si>
  <si>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</si>
  <si>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</si>
  <si>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</si>
  <si>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</si>
  <si>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</si>
  <si>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</si>
  <si>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</si>
  <si>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</si>
  <si>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</si>
  <si>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</si>
  <si>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</si>
  <si>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</si>
  <si>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</si>
  <si>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</si>
  <si>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</si>
  <si>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</si>
  <si>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</si>
  <si>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</si>
  <si>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</si>
  <si>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</si>
  <si>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</si>
  <si>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</si>
  <si>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</si>
  <si>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</si>
  <si>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</si>
  <si>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</si>
  <si>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</si>
  <si>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</si>
  <si>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</si>
  <si>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</si>
  <si>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</si>
  <si>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</si>
  <si>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</si>
  <si>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</si>
  <si>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</si>
  <si>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</si>
  <si>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</si>
  <si>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</si>
  <si>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</si>
  <si>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</si>
  <si>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</si>
  <si>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</si>
  <si>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</si>
  <si>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</si>
  <si>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</si>
  <si>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</si>
  <si>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</si>
  <si>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</si>
  <si>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</si>
  <si>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</si>
  <si>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</si>
  <si>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</si>
  <si>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</si>
  <si>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</si>
  <si>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</si>
  <si>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</si>
  <si>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</si>
  <si>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</si>
  <si>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</si>
  <si>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</si>
  <si>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</si>
  <si>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</si>
  <si>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</si>
  <si>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</si>
  <si>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</si>
  <si>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</si>
  <si>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</si>
  <si>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</si>
  <si>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</si>
  <si>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</si>
  <si>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</si>
  <si>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</si>
  <si>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</si>
  <si>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</si>
  <si>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</si>
  <si>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</si>
  <si>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</si>
  <si>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</si>
  <si>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</si>
  <si>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</si>
  <si>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</si>
  <si>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</si>
  <si>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</si>
  <si>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</si>
  <si>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</si>
  <si>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</si>
  <si>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</si>
  <si>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</si>
  <si>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</si>
  <si>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</si>
  <si>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</si>
  <si>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</si>
  <si>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</si>
  <si>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</si>
  <si>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</si>
  <si>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</si>
  <si>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</si>
  <si>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</si>
  <si>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</si>
  <si>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</si>
  <si>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</si>
  <si>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</si>
  <si>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</si>
  <si>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</si>
  <si>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</si>
  <si>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</si>
  <si>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</si>
  <si>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</si>
  <si>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</si>
  <si>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</si>
  <si>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</si>
  <si>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</si>
  <si>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</si>
  <si>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</si>
  <si>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</si>
  <si>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</si>
  <si>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</si>
  <si>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</si>
  <si>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</si>
  <si>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</si>
  <si>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</si>
  <si>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</si>
  <si>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</si>
  <si>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</si>
  <si>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</si>
  <si>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</si>
  <si>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</si>
  <si>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</si>
  <si>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</si>
  <si>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</si>
  <si>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</si>
  <si>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</si>
  <si>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</si>
  <si>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</si>
  <si>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</si>
  <si>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</si>
  <si>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</si>
  <si>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</si>
  <si>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</si>
  <si>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</si>
  <si>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</si>
  <si>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</si>
  <si>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</si>
  <si>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</si>
  <si>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</si>
  <si>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</si>
  <si>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</si>
  <si>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</si>
  <si>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</si>
  <si>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</si>
  <si>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</si>
  <si>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</si>
  <si>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</si>
  <si>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</si>
  <si>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</si>
  <si>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</si>
  <si>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</si>
  <si>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</si>
  <si>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</si>
  <si>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</si>
  <si>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</si>
  <si>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</si>
  <si>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</si>
  <si>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</si>
  <si>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</si>
  <si>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</si>
  <si>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</si>
  <si>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</si>
  <si>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</si>
  <si>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</si>
  <si>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</si>
  <si>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</si>
  <si>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</si>
  <si>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</si>
  <si>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</si>
  <si>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</si>
  <si>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</si>
  <si>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</si>
  <si>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</si>
  <si>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</si>
  <si>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</si>
  <si>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</si>
  <si>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</si>
  <si>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</si>
  <si>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</si>
  <si>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</si>
  <si>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</si>
  <si>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</si>
  <si>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</si>
  <si>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</si>
  <si>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</si>
  <si>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</si>
  <si>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</si>
  <si>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</si>
  <si>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</si>
  <si>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</si>
  <si>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</si>
  <si>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</si>
  <si>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</si>
  <si>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</si>
  <si>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</si>
  <si>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</si>
  <si>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</si>
  <si>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</si>
  <si>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</si>
  <si>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</si>
  <si>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</si>
  <si>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</si>
  <si>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</si>
  <si>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</si>
  <si>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</si>
  <si>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</si>
  <si>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</si>
  <si>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</si>
  <si>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</si>
  <si>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</si>
  <si>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</si>
  <si>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</si>
  <si>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</si>
  <si>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</si>
  <si>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</si>
  <si>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</si>
  <si>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</si>
  <si>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</si>
  <si>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</si>
  <si>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</si>
  <si>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</si>
  <si>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</si>
  <si>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</si>
  <si>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</si>
  <si>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</si>
  <si>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</si>
  <si>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</si>
  <si>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</si>
  <si>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</si>
  <si>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</si>
  <si>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</si>
  <si>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</si>
  <si>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</si>
  <si>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</si>
  <si>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</si>
  <si>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</si>
  <si>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</si>
  <si>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</si>
  <si>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</si>
  <si>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</si>
  <si>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</si>
  <si>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</si>
  <si>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</si>
  <si>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</si>
  <si>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</si>
  <si>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</si>
  <si>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</si>
  <si>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</si>
  <si>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</si>
  <si>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</si>
  <si>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</si>
  <si>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</si>
  <si>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</si>
  <si>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</si>
  <si>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</si>
  <si>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</si>
  <si>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</si>
  <si>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</si>
  <si>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</si>
  <si>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</si>
  <si>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</si>
  <si>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</si>
  <si>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</si>
  <si>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</si>
  <si>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</si>
  <si>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</si>
  <si>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</si>
  <si>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</si>
  <si>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</si>
  <si>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</si>
  <si>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</si>
  <si>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</si>
  <si>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</si>
  <si>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</si>
  <si>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</si>
  <si>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</si>
  <si>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</si>
  <si>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</si>
  <si>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</si>
  <si>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</si>
  <si>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</si>
  <si>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</si>
  <si>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</si>
  <si>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</si>
  <si>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</si>
  <si>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</si>
  <si>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</si>
  <si>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</si>
  <si>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</si>
  <si>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</si>
  <si>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</si>
  <si>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</si>
  <si>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</si>
  <si>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</si>
  <si>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</si>
  <si>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</si>
  <si>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</si>
  <si>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</si>
  <si>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</si>
  <si>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</si>
  <si>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</si>
  <si>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</si>
  <si>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</si>
  <si>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</si>
  <si>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</si>
  <si>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</si>
  <si>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</si>
  <si>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</si>
  <si>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</si>
  <si>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</si>
  <si>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</si>
  <si>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</si>
  <si>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</si>
  <si>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</si>
  <si>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</si>
  <si>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</si>
  <si>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</si>
  <si>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</si>
  <si>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</si>
  <si>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</si>
  <si>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</si>
  <si>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</si>
  <si>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</si>
  <si>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</si>
  <si>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</si>
  <si>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</si>
  <si>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</si>
  <si>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</si>
  <si>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</si>
  <si>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</si>
  <si>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</si>
  <si>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</si>
  <si>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</si>
  <si>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</si>
  <si>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</si>
  <si>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</si>
  <si>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</si>
  <si>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</si>
  <si>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</si>
  <si>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</si>
  <si>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</si>
  <si>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</si>
  <si>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</si>
  <si>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</si>
  <si>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</si>
  <si>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</si>
  <si>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</si>
  <si>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</si>
  <si>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</si>
  <si>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</si>
  <si>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</si>
  <si>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</si>
  <si>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</si>
  <si>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</si>
  <si>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</si>
  <si>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</si>
  <si>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</si>
  <si>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</si>
  <si>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</si>
  <si>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</si>
  <si>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</si>
  <si>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</si>
  <si>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</si>
  <si>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</si>
  <si>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</si>
  <si>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</si>
  <si>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</si>
  <si>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</si>
  <si>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</si>
  <si>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</si>
  <si>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</si>
  <si>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</si>
  <si>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</si>
  <si>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</si>
  <si>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</si>
  <si>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</si>
  <si>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</si>
  <si>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</si>
  <si>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</si>
  <si>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</si>
  <si>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</si>
  <si>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</si>
  <si>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</si>
  <si>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</si>
  <si>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</si>
  <si>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</si>
  <si>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</si>
  <si>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</si>
  <si>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</si>
  <si>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</si>
  <si>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</si>
  <si>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</si>
  <si>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</si>
  <si>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</si>
  <si>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</si>
  <si>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</si>
  <si>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</si>
  <si>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</si>
  <si>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</si>
  <si>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</si>
  <si>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</si>
  <si>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</si>
  <si>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</si>
  <si>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</si>
  <si>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</si>
  <si>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</si>
  <si>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</si>
  <si>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</si>
  <si>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</si>
  <si>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</si>
  <si>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</si>
  <si>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</si>
  <si>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</si>
  <si>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</si>
  <si>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</si>
  <si>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</si>
  <si>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</si>
  <si>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</si>
  <si>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</si>
  <si>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</si>
  <si>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</si>
  <si>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</si>
  <si>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</si>
  <si>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</si>
  <si>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</si>
  <si>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</si>
  <si>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</si>
  <si>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</si>
  <si>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</si>
  <si>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</si>
  <si>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</si>
  <si>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</si>
  <si>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</si>
  <si>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</si>
  <si>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</si>
  <si>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</si>
  <si>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</si>
  <si>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</si>
  <si>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</si>
  <si>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</si>
  <si>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</si>
  <si>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</si>
  <si>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</si>
  <si>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</si>
  <si>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</si>
  <si>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</si>
  <si>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</si>
  <si>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</si>
  <si>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</si>
  <si>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</si>
  <si>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</si>
  <si>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</si>
  <si>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</si>
  <si>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</si>
  <si>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</si>
  <si>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</si>
  <si>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</si>
  <si>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</si>
  <si>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</si>
  <si>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</si>
  <si>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</si>
  <si>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</si>
  <si>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</si>
  <si>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</si>
  <si>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</si>
  <si>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</si>
  <si>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</si>
  <si>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</si>
  <si>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</si>
  <si>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</si>
  <si>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</si>
  <si>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</si>
  <si>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</si>
  <si>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</si>
  <si>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</si>
  <si>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</si>
  <si>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</si>
  <si>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</si>
  <si>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</si>
  <si>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</si>
  <si>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</si>
  <si>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</si>
  <si>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</si>
  <si>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</si>
  <si>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</si>
  <si>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</si>
  <si>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</si>
  <si>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</si>
  <si>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</si>
  <si>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</si>
  <si>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</si>
  <si>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</si>
  <si>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</si>
  <si>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</si>
  <si>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</si>
  <si>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</si>
  <si>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</si>
  <si>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</si>
  <si>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</si>
  <si>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</si>
  <si>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</si>
  <si>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</si>
  <si>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</si>
  <si>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</si>
  <si>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</si>
  <si>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</si>
  <si>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</si>
  <si>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</si>
  <si>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</si>
  <si>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</si>
  <si>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</si>
  <si>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</si>
  <si>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</si>
  <si>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</si>
  <si>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</si>
  <si>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</si>
  <si>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</si>
  <si>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</si>
  <si>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</si>
  <si>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</si>
  <si>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</si>
  <si>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</si>
  <si>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</si>
  <si>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</si>
  <si>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</si>
  <si>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</si>
  <si>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</si>
  <si>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</si>
  <si>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</si>
  <si>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</si>
  <si>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</si>
  <si>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</si>
  <si>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</si>
  <si>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</si>
  <si>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</si>
  <si>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</si>
  <si>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</si>
  <si>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</si>
  <si>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</si>
  <si>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</si>
  <si>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</si>
  <si>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</si>
  <si>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</si>
  <si>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</si>
  <si>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</si>
  <si>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</si>
  <si>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</si>
  <si>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</si>
  <si>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</si>
  <si>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</si>
  <si>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</si>
  <si>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</si>
  <si>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</si>
  <si>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</si>
  <si>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</si>
  <si>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</si>
  <si>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</si>
  <si>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</si>
  <si>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</si>
  <si>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</si>
  <si>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</si>
  <si>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</si>
  <si>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</si>
  <si>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</si>
  <si>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</si>
  <si>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</si>
  <si>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</si>
  <si>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</si>
  <si>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</si>
  <si>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</si>
  <si>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</si>
  <si>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</si>
  <si>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</si>
  <si>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</si>
  <si>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</si>
  <si>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</si>
  <si>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</si>
  <si>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</si>
  <si>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</si>
  <si>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</si>
  <si>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</si>
  <si>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</si>
  <si>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</si>
  <si>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</si>
  <si>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</si>
  <si>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</si>
  <si>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</si>
  <si>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</si>
  <si>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</si>
  <si>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</si>
  <si>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</si>
  <si>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</si>
  <si>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</si>
  <si>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</si>
  <si>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</si>
  <si>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</si>
  <si>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</si>
  <si>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</si>
  <si>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</si>
  <si>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</si>
  <si>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</si>
  <si>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</si>
  <si>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</si>
  <si>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</si>
  <si>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</si>
  <si>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</si>
  <si>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</si>
  <si>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</si>
  <si>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</si>
  <si>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</si>
  <si>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</si>
  <si>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</si>
  <si>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</si>
  <si>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</si>
  <si>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</si>
  <si>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</si>
  <si>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</si>
  <si>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</si>
  <si>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</si>
  <si>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</si>
  <si>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</si>
  <si>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</si>
  <si>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</si>
  <si>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</si>
  <si>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</si>
  <si>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</si>
  <si>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</si>
  <si>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</si>
  <si>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</si>
  <si>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</si>
  <si>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</si>
  <si>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</si>
  <si>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</si>
  <si>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</si>
  <si>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</si>
  <si>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</si>
  <si>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</si>
  <si>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</si>
  <si>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</si>
  <si>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</si>
  <si>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</si>
  <si>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</si>
  <si>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</si>
  <si>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</si>
  <si>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</si>
  <si>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</si>
  <si>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</si>
  <si>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</si>
  <si>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</si>
  <si>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</si>
  <si>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</si>
  <si>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</si>
  <si>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</si>
  <si>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</si>
  <si>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</si>
  <si>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</si>
  <si>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</si>
  <si>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</si>
  <si>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</si>
  <si>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</si>
  <si>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</si>
  <si>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</si>
  <si>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</si>
  <si>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</si>
  <si>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</si>
  <si>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</si>
  <si>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</si>
  <si>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</si>
  <si>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</si>
  <si>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</si>
  <si>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</si>
  <si>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</si>
  <si>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</si>
  <si>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</si>
  <si>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</si>
  <si>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</si>
  <si>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</si>
  <si>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</si>
  <si>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</si>
  <si>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</si>
  <si>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</si>
  <si>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</si>
  <si>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</si>
  <si>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</si>
  <si>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</si>
  <si>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</si>
  <si>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</si>
  <si>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</si>
  <si>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</si>
  <si>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</si>
  <si>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</si>
  <si>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</si>
  <si>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</si>
  <si>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</si>
  <si>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</si>
  <si>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</si>
  <si>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</si>
  <si>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</si>
  <si>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</si>
  <si>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</si>
  <si>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</si>
  <si>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</si>
  <si>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</si>
  <si>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</si>
  <si>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</si>
  <si>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</si>
  <si>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</si>
  <si>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</si>
  <si>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</si>
  <si>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</si>
  <si>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</si>
  <si>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</si>
  <si>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</si>
  <si>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</si>
  <si>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</si>
  <si>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</si>
  <si>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</si>
  <si>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</si>
  <si>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</si>
  <si>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</si>
  <si>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</si>
  <si>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</si>
  <si>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</si>
  <si>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</si>
  <si>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</si>
  <si>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</si>
  <si>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</si>
  <si>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</si>
  <si>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</si>
  <si>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</si>
  <si>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</si>
  <si>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</si>
  <si>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</si>
  <si>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</si>
  <si>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</si>
  <si>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</si>
  <si>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</si>
  <si>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</si>
  <si>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</si>
  <si>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</si>
  <si>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</si>
  <si>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</si>
  <si>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</si>
  <si>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</si>
  <si>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</si>
  <si>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</si>
  <si>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</si>
  <si>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</si>
  <si>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</si>
  <si>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</si>
  <si>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HUELVA</t>
  </si>
  <si>
    <t>Resumenes por Partidos Judiciales</t>
  </si>
  <si>
    <t>MOGUER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</si>
</sst>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g8iccl3yHs4p0L+bWv6yjC2LfroaeRv2hxwOoba13UB4tpApRVaIlYTqZRW8tC0O99AF45kgy4rLhfkhjuxfg==" saltValue="WpHngldz6QP7XZQCzeVE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MOGUER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2663</v>
      </c>
      <c r="D12" s="404">
        <f>IF(ISNUMBER(C12/Datos!BH12),C12/Datos!BH12," - ")</f>
        <v>1331.5</v>
      </c>
      <c r="E12" s="403">
        <f>IF(ISNUMBER(IF(J_V="SI",Datos!J12,Datos!J12+Datos!Z12)),IF(J_V="SI",Datos!J12,Datos!J12+Datos!Z12)," - ")</f>
        <v>914</v>
      </c>
      <c r="F12" s="404">
        <f>IF(ISNUMBER(E12/B12),E12/B12," - ")</f>
        <v>457</v>
      </c>
      <c r="G12" s="403">
        <f>IF(ISNUMBER(IF(J_V="SI",Datos!K12,Datos!K12+Datos!AA12)),IF(J_V="SI",Datos!K12,Datos!K12+Datos!AA12)," - ")</f>
        <v>510</v>
      </c>
      <c r="H12" s="404">
        <f>IF(ISNUMBER(G12/B12),G12/B12," - ")</f>
        <v>255</v>
      </c>
      <c r="I12" s="403">
        <f>IF(ISNUMBER(IF(J_V="SI",Datos!L12,Datos!L12+Datos!AB12)),IF(J_V="SI",Datos!L12,Datos!L12+Datos!AB12)," - ")</f>
        <v>3067</v>
      </c>
      <c r="J12" s="404">
        <f>IF(ISNUMBER(I12/B12),I12/B12," - ")</f>
        <v>1533.5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2663</v>
      </c>
      <c r="D13" s="850" t="str">
        <f>IF(ISNUMBER(C13/Datos!BI13),C13/Datos!BI13," - ")</f>
        <v xml:space="preserve"> - </v>
      </c>
      <c r="E13" s="849">
        <f>SUBTOTAL(9,E8:E12)</f>
        <v>915</v>
      </c>
      <c r="F13" s="850">
        <f>IF(ISNUMBER(E13/B13),E13/B13," - ")</f>
        <v>457.5</v>
      </c>
      <c r="G13" s="849">
        <f>SUBTOTAL(9,G8:G12)</f>
        <v>510</v>
      </c>
      <c r="H13" s="850">
        <f>IF(ISNUMBER(G13/B13),G13/B13," - ")</f>
        <v>255</v>
      </c>
      <c r="I13" s="849">
        <f>SUBTOTAL(9,I8:I12)</f>
        <v>3068</v>
      </c>
      <c r="J13" s="850">
        <f>IF(ISNUMBER(I13/B13),I13/B13," - ")</f>
        <v>1534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1904</v>
      </c>
      <c r="D16" s="404">
        <f>IF(ISNUMBER(C16/Datos!BH16),C16/Datos!BH16," - ")</f>
        <v>952</v>
      </c>
      <c r="E16" s="403">
        <f>IF(ISNUMBER(IF(D_I="SI",Datos!J16,Datos!J16+Datos!AD16)),IF(D_I="SI",Datos!J16,Datos!J16+Datos!AD16)," - ")</f>
        <v>678</v>
      </c>
      <c r="F16" s="404">
        <f>IF(ISNUMBER(E16/B16),E16/B16," - ")</f>
        <v>339</v>
      </c>
      <c r="G16" s="403">
        <f>IF(ISNUMBER(IF(D_I="SI",Datos!K16,Datos!K16+Datos!AE16)),IF(D_I="SI",Datos!K16,Datos!K16+Datos!AE16)," - ")</f>
        <v>678</v>
      </c>
      <c r="H16" s="404">
        <f>IF(ISNUMBER(G16/B16),G16/B16," - ")</f>
        <v>339</v>
      </c>
      <c r="I16" s="403">
        <f>IF(ISNUMBER(IF(D_I="SI",Datos!L16,Datos!L16+Datos!AF16)),IF(D_I="SI",Datos!L16,Datos!L16+Datos!AF16)," - ")</f>
        <v>1904</v>
      </c>
      <c r="J16" s="404">
        <f>IF(ISNUMBER(I16/B16),I16/B16," - ")</f>
        <v>952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165</v>
      </c>
      <c r="D17" s="404">
        <f>IF(ISNUMBER(C17/Datos!BH17),C17/Datos!BH17," - ")</f>
        <v>165</v>
      </c>
      <c r="E17" s="403">
        <f>IF(ISNUMBER(IF(D_I="SI",Datos!J17,Datos!J17+Datos!AD17)),IF(D_I="SI",Datos!J17,Datos!J17+Datos!AD17)," - ")</f>
        <v>73</v>
      </c>
      <c r="F17" s="404">
        <f>IF(ISNUMBER(E17/B17),E17/B17," - ")</f>
        <v>73</v>
      </c>
      <c r="G17" s="403">
        <f>IF(ISNUMBER(IF(D_I="SI",Datos!K17,Datos!K17+Datos!AE17)),IF(D_I="SI",Datos!K17,Datos!K17+Datos!AE17)," - ")</f>
        <v>65</v>
      </c>
      <c r="H17" s="404">
        <f>IF(ISNUMBER(G17/B17),G17/B17," - ")</f>
        <v>65</v>
      </c>
      <c r="I17" s="403">
        <f>IF(ISNUMBER(IF(D_I="SI",Datos!L17,Datos!L17+Datos!AF17)),IF(D_I="SI",Datos!L17,Datos!L17+Datos!AF17)," - ")</f>
        <v>173</v>
      </c>
      <c r="J17" s="404">
        <f>IF(ISNUMBER(I17/B17),I17/B17," - ")</f>
        <v>173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2069</v>
      </c>
      <c r="D18" s="850" t="str">
        <f>IF(ISNUMBER(C18/Datos!BI18),C18/Datos!BI18," - ")</f>
        <v xml:space="preserve"> - </v>
      </c>
      <c r="E18" s="849">
        <f>SUBTOTAL(9,E14:E17)</f>
        <v>751</v>
      </c>
      <c r="F18" s="850">
        <f>IF(ISNUMBER(E18/B18),E18/B18," - ")</f>
        <v>375.5</v>
      </c>
      <c r="G18" s="849">
        <f>SUBTOTAL(9,G14:G17)</f>
        <v>743</v>
      </c>
      <c r="H18" s="850">
        <f>IF(ISNUMBER(G18/B18),G18/B18," - ")</f>
        <v>371.5</v>
      </c>
      <c r="I18" s="849">
        <f>SUBTOTAL(9,I14:I17)</f>
        <v>2077</v>
      </c>
      <c r="J18" s="850">
        <f>IF(ISNUMBER(I18/B18),I18/B18," - ")</f>
        <v>1038.5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4732</v>
      </c>
      <c r="D19" s="795" t="str">
        <f>IF(ISNUMBER(C19/Datos!BI19),C19/Datos!BI19," - ")</f>
        <v xml:space="preserve"> - </v>
      </c>
      <c r="E19" s="794">
        <f>SUBTOTAL(9,E9:E18)</f>
        <v>1666</v>
      </c>
      <c r="F19" s="795">
        <f>IF(ISNUMBER(E19/B19),E19/B19," - ")</f>
        <v>833</v>
      </c>
      <c r="G19" s="794">
        <f>SUBTOTAL(9,G9:G18)</f>
        <v>1253</v>
      </c>
      <c r="H19" s="795">
        <f>IF(ISNUMBER(G19/B19),G19/B19," - ")</f>
        <v>626.5</v>
      </c>
      <c r="I19" s="794">
        <f>SUBTOTAL(9,I9:I18)</f>
        <v>5145</v>
      </c>
      <c r="J19" s="795">
        <f>IF(ISNUMBER(I19/B19),I19/B19," - ")</f>
        <v>2572.5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8igDl9+URIYEKPTzTNPBavPtpCxvfsUw8tIduoiOD8wAbm6mHnisfLk9g8t2+qnJp2jQ3Zk2H2Bcys1/S6ct+w==" saltValue="NE7bRkZBNB+DFLjUmzkq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MOGUER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TRV4DMHx/sy4vl8kcpZ5aloWSyVnvBPc/O4FvE9A9C08iRiafFUilXv/TnL9PMxJb6xu2lHCzh8u3Vt5pKXFA==" saltValue="C6LfbRSYR3VGzT4m8owy0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MOGUER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141</v>
      </c>
      <c r="E12" s="404">
        <f t="shared" si="0"/>
        <v>70.5</v>
      </c>
      <c r="F12" s="403">
        <f>IF(ISNUMBER(Datos!N12),Datos!N12," - ")</f>
        <v>223</v>
      </c>
      <c r="G12" s="404">
        <f t="shared" si="1"/>
        <v>111.5</v>
      </c>
      <c r="H12" s="403">
        <f>IF(ISNUMBER(Datos!O12),Datos!O12," - ")</f>
        <v>163</v>
      </c>
      <c r="I12" s="404">
        <f t="shared" si="2"/>
        <v>81.5</v>
      </c>
      <c r="BZ12" s="1186">
        <f>Datos!EZ12</f>
        <v>0</v>
      </c>
    </row>
    <row r="13" spans="1:78" ht="14.25" thickTop="1" thickBot="1">
      <c r="A13" s="848" t="str">
        <f>Datos!A13</f>
        <v>TOTAL</v>
      </c>
      <c r="B13" s="849">
        <f>Datos!AP13</f>
        <v>2</v>
      </c>
      <c r="C13" s="851">
        <f>Datos!AR13</f>
        <v>2</v>
      </c>
      <c r="D13" s="849">
        <f>SUBTOTAL(9,D9:D12)</f>
        <v>141</v>
      </c>
      <c r="E13" s="850">
        <f t="shared" si="0"/>
        <v>70.5</v>
      </c>
      <c r="F13" s="849">
        <f>SUBTOTAL(9,F9:F12)</f>
        <v>223</v>
      </c>
      <c r="G13" s="850">
        <f t="shared" si="1"/>
        <v>111.5</v>
      </c>
      <c r="H13" s="849">
        <f>SUBTOTAL(9,H9:H12)</f>
        <v>163</v>
      </c>
      <c r="I13" s="850">
        <f>IF(ISNUMBER(H13/B13),H13/B13," - ")</f>
        <v>81.5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80</v>
      </c>
      <c r="E16" s="404">
        <f t="shared" si="3"/>
        <v>40</v>
      </c>
      <c r="F16" s="403">
        <f>IF(ISNUMBER(Datos!N16),Datos!N16," - ")</f>
        <v>392</v>
      </c>
      <c r="G16" s="404">
        <f t="shared" si="4"/>
        <v>196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96</v>
      </c>
      <c r="E18" s="850">
        <f t="shared" si="3"/>
        <v>48</v>
      </c>
      <c r="F18" s="849">
        <f>SUBTOTAL(9,F15:F17)</f>
        <v>425</v>
      </c>
      <c r="G18" s="850">
        <f t="shared" si="4"/>
        <v>212.5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237</v>
      </c>
      <c r="E19" s="795">
        <f>IF(ISNUMBER(D19/B19),D19/B19," - ")</f>
        <v>118.5</v>
      </c>
      <c r="F19" s="794">
        <f>SUBTOTAL(9,F8:F18)</f>
        <v>648</v>
      </c>
      <c r="G19" s="795">
        <f>IF(ISNUMBER(F19/B19),F19/B19," - ")</f>
        <v>324</v>
      </c>
      <c r="H19" s="794">
        <f>SUBTOTAL(9,H8:H18)</f>
        <v>163</v>
      </c>
      <c r="I19" s="795">
        <f>IF(ISNUMBER(H19/B19),H19/B19," - ")</f>
        <v>81.5</v>
      </c>
    </row>
    <row r="22" spans="1:78">
      <c r="A22" s="391" t="str">
        <f>Criterios!A4</f>
        <v>Fecha Informe: 27 feb. 2025</v>
      </c>
    </row>
    <row r="27" spans="1:78">
      <c r="A27" s="414"/>
    </row>
  </sheetData>
  <sheetProtection algorithmName="SHA-512" hashValue="G1fiu/jIb00JhG5cQzc26iGdSnZYYQsJ2VMyDaFmT6oUaeT1q8vOoIefcLqNB5LWi2pEdRT/zDmJFPySJWNE/Q==" saltValue="/hK9MrnICtBYu11pau/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MOGUER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125</v>
      </c>
      <c r="C12" s="434">
        <f>IF(ISNUMBER(Datos!Q12),Datos!Q12," - ")</f>
        <v>61</v>
      </c>
      <c r="D12" s="408">
        <f>IF(ISNUMBER(Datos!R12),Datos!R12," - ")</f>
        <v>2519</v>
      </c>
    </row>
    <row r="13" spans="1:4" ht="14.25" thickTop="1" thickBot="1">
      <c r="A13" s="848" t="str">
        <f>Datos!A13</f>
        <v>TOTAL</v>
      </c>
      <c r="B13" s="849">
        <f>SUBTOTAL(9,B9:B12)</f>
        <v>125</v>
      </c>
      <c r="C13" s="853">
        <f>SUBTOTAL(9,C9:C12)</f>
        <v>61</v>
      </c>
      <c r="D13" s="851">
        <f>SUBTOTAL(9,D9:D12)</f>
        <v>2519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8</v>
      </c>
      <c r="D16" s="408">
        <f>IF(ISNUMBER(Datos!R16),Datos!R16," - ")</f>
        <v>108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26</v>
      </c>
      <c r="C18" s="853">
        <f>SUBTOTAL(9,C15:C17)</f>
        <v>8</v>
      </c>
      <c r="D18" s="851">
        <f>SUBTOTAL(9,D15:D17)</f>
        <v>108</v>
      </c>
    </row>
    <row r="19" spans="1:4" ht="16.5" customHeight="1" thickTop="1" thickBot="1">
      <c r="A19" s="793" t="str">
        <f>Datos!A19</f>
        <v>TOTAL JURISDICCIONES</v>
      </c>
      <c r="B19" s="798">
        <f>SUBTOTAL(9,B8:B18)</f>
        <v>151</v>
      </c>
      <c r="C19" s="799">
        <f>SUBTOTAL(9,C8:C18)</f>
        <v>69</v>
      </c>
      <c r="D19" s="800">
        <f>SUBTOTAL(9,D8:D18)</f>
        <v>2627</v>
      </c>
    </row>
    <row r="20" spans="1:4" ht="7.5" customHeight="1"/>
    <row r="21" spans="1:4" ht="6" customHeight="1"/>
    <row r="22" spans="1:4">
      <c r="A22" s="391" t="str">
        <f>Criterios!A4</f>
        <v>Fecha Informe: 27 feb. 2025</v>
      </c>
    </row>
    <row r="27" spans="1:4">
      <c r="A27" s="414"/>
    </row>
  </sheetData>
  <sheetProtection algorithmName="SHA-512" hashValue="S2djIVpeH1brDBGPf5gihsYbQgp+4eVY78l2ePcR7sOm8eLVGTbA/c1v4FCCJ2aLkGoWfAHZBRqmwwp1cKGo8w==" saltValue="PrIZe+lLuCV2DjKzTlwz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MOGUER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-0.75</v>
      </c>
      <c r="D10" s="456">
        <f>IF(ISNUMBER((Datos!K10-Datos!U10)/Datos!U10),(Datos!K10-Datos!U10)/Datos!U10," - ")</f>
        <v>-1</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5.1737756714060029E-2</v>
      </c>
      <c r="C12" s="456">
        <f>IF(ISNUMBER(
   IF(J_V="SI",(Datos!J12-Datos!T12)/Datos!T12,(Datos!J12+Datos!Z12-(Datos!T12+Datos!AH12))/(Datos!T12+Datos!AH12))
     ),IF(J_V="SI",(Datos!J12-Datos!T12)/Datos!T12,(Datos!J12+Datos!Z12-(Datos!T12+Datos!AH12))/(Datos!T12+Datos!AH12))," - ")</f>
        <v>1.6114285714285714</v>
      </c>
      <c r="D12" s="456">
        <f>IF(ISNUMBER(
   IF(J_V="SI",(Datos!K12-Datos!U12)/Datos!U12,(Datos!K12+Datos!AA12-(Datos!U12+Datos!AI12))/(Datos!U12+Datos!AI12))
     ),IF(J_V="SI",(Datos!K12-Datos!U12)/Datos!U12,(Datos!K12+Datos!AA12-(Datos!U12+Datos!AI12))/(Datos!U12+Datos!AI12))," - ")</f>
        <v>0.24694376528117359</v>
      </c>
      <c r="E12" s="456">
        <f>IF(ISNUMBER(
   IF(J_V="SI",(Datos!L12-Datos!V12)/Datos!V12,(Datos!L12+Datos!AB12-(Datos!V12+Datos!AJ12))/(Datos!V12+Datos!AJ12))
     ),IF(J_V="SI",(Datos!L12-Datos!V12)/Datos!V12,(Datos!L12+Datos!AB12-(Datos!V12+Datos!AJ12))/(Datos!V12+Datos!AJ12))," - ")</f>
        <v>0.24019409623938537</v>
      </c>
      <c r="F12" s="456">
        <f>IF(ISNUMBER((Datos!M12-Datos!W12)/Datos!W12),(Datos!M12-Datos!W12)/Datos!W12," - ")</f>
        <v>-0.12422360248447205</v>
      </c>
      <c r="G12" s="457">
        <f>IF(ISNUMBER((Datos!N12-Datos!X12)/Datos!X12),(Datos!N12-Datos!X12)/Datos!X12," - ")</f>
        <v>0.21857923497267759</v>
      </c>
      <c r="H12" s="455">
        <f>IF(ISNUMBER(((NºAsuntos!G12/NºAsuntos!E12)-Datos!BD12)/Datos!BD12),((NºAsuntos!G12/NºAsuntos!E12)-Datos!BD12)/Datos!BD12," - ")</f>
        <v>-0.52250512270414573</v>
      </c>
      <c r="I12" s="456">
        <f>IF(ISNUMBER(((NºAsuntos!I12/NºAsuntos!G12)-Datos!BE12)/Datos!BE12),((NºAsuntos!I12/NºAsuntos!G12)-Datos!BE12)/Datos!BE12," - ")</f>
        <v>-5.4129698786105967E-3</v>
      </c>
      <c r="J12" s="461">
        <f>IF(ISNUMBER((('Resol  Asuntos'!D12/NºAsuntos!G12)-Datos!BF12)/Datos!BF12),(('Resol  Asuntos'!D12/NºAsuntos!G12)-Datos!BF12)/Datos!BF12," - ")</f>
        <v>-0.38209578913532621</v>
      </c>
      <c r="K12" s="462">
        <f>IF(ISNUMBER((((NºAsuntos!C12+NºAsuntos!E12)/NºAsuntos!G12)-Datos!BG12)/Datos!BG12),(((NºAsuntos!C12+NºAsuntos!E12)/NºAsuntos!G12)-Datos!BG12)/Datos!BG12," - ")</f>
        <v>-4.644786436434423E-3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5.0493096646942799E-2</v>
      </c>
      <c r="C13" s="855">
        <f>IF(ISNUMBER(
   IF(J_V="SI",(Datos!J13-Datos!T13)/Datos!T13,(Datos!J13+Datos!Z13-(Datos!T13+Datos!AH13))/(Datos!T13+Datos!AH13))
     ),IF(J_V="SI",(Datos!J13-Datos!T13)/Datos!T13,(Datos!J13+Datos!Z13-(Datos!T13+Datos!AH13))/(Datos!T13+Datos!AH13))," - ")</f>
        <v>1.5847457627118644</v>
      </c>
      <c r="D13" s="855">
        <f>IF(ISNUMBER(
   IF(J_V="SI",(Datos!K13-Datos!U13)/Datos!U13,(Datos!K13+Datos!AA13-(Datos!U13+Datos!AI13))/(Datos!U13+Datos!AI13))
     ),IF(J_V="SI",(Datos!K13-Datos!U13)/Datos!U13,(Datos!K13+Datos!AA13-(Datos!U13+Datos!AI13))/(Datos!U13+Datos!AI13))," - ")</f>
        <v>0.22596153846153846</v>
      </c>
      <c r="E13" s="855">
        <f>IF(ISNUMBER(
   IF(J_V="SI",(Datos!L13-Datos!V13)/Datos!V13,(Datos!L13+Datos!AB13-(Datos!V13+Datos!AJ13))/(Datos!V13+Datos!AJ13))
     ),IF(J_V="SI",(Datos!L13-Datos!V13)/Datos!V13,(Datos!L13+Datos!AB13-(Datos!V13+Datos!AJ13))/(Datos!V13+Datos!AJ13))," - ")</f>
        <v>0.24059846340477153</v>
      </c>
      <c r="F13" s="856">
        <f>IF(ISNUMBER((Datos!M13-Datos!W13)/Datos!W13),(Datos!M13-Datos!W13)/Datos!W13," - ")</f>
        <v>-0.12422360248447205</v>
      </c>
      <c r="G13" s="857">
        <f>IF(ISNUMBER((Datos!N13-Datos!X13)/Datos!X13),(Datos!N13-Datos!X13)/Datos!X13," - ")</f>
        <v>0.21857923497267759</v>
      </c>
      <c r="H13" s="857">
        <f>IF(ISNUMBER(((NºAsuntos!G13/NºAsuntos!E13)-Datos!BD13)/Datos!BD13),((NºAsuntos!G13/NºAsuntos!E13)-Datos!BD13)/Datos!BD13," - ")</f>
        <v>-0.52569356872635564</v>
      </c>
      <c r="I13" s="857">
        <f>IF(ISNUMBER(((NºAsuntos!I13/NºAsuntos!G13)-Datos!BE13)/Datos!BE13),((NºAsuntos!I13/NºAsuntos!G13)-Datos!BE13)/Datos!BE13," - ")</f>
        <v>1.1939138777225421E-2</v>
      </c>
      <c r="J13" s="857">
        <f>IF(ISNUMBER((('Resol  Asuntos'!D13/NºAsuntos!G13)-Datos!BF13)/Datos!BF13),(('Resol  Asuntos'!D13/NºAsuntos!G13)-Datos!BF13)/Datos!BF13," - ")</f>
        <v>-0.37152041144326581</v>
      </c>
      <c r="K13" s="857">
        <f>IF(ISNUMBER((((NºAsuntos!C13+NºAsuntos!E13)/NºAsuntos!G13)-Datos!BG13)/Datos!BG13),(((NºAsuntos!C13+NºAsuntos!E13)/NºAsuntos!G13)-Datos!BG13)/Datos!BG13," - ")</f>
        <v>1.021996891522273E-2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0.18407960199004975</v>
      </c>
      <c r="C16" s="456">
        <f>IF(ISNUMBER(
   IF(D_I="SI",(Datos!J16-Datos!T16)/Datos!T16,(Datos!J16+Datos!AD16-(Datos!T16+Datos!AL16))/(Datos!T16+Datos!AL16))
     ),IF(D_I="SI",(Datos!J16-Datos!T16)/Datos!T16,(Datos!J16+Datos!AD16-(Datos!T16+Datos!AL16))/(Datos!T16+Datos!AL16))," - ")</f>
        <v>0.23722627737226276</v>
      </c>
      <c r="D16" s="456">
        <f>IF(ISNUMBER(
   IF(D_I="SI",(Datos!K16-Datos!U16)/Datos!U16,(Datos!K16+Datos!AE16-(Datos!U16+Datos!AM16))/(Datos!U16+Datos!AM16))
     ),IF(D_I="SI",(Datos!K16-Datos!U16)/Datos!U16,(Datos!K16+Datos!AE16-(Datos!U16+Datos!AM16))/(Datos!U16+Datos!AM16))," - ")</f>
        <v>0.17504332755632582</v>
      </c>
      <c r="E16" s="456">
        <f>IF(ISNUMBER(
   IF(D_I="SI",(Datos!L16-Datos!V16)/Datos!V16,(Datos!L16+Datos!AF16-(Datos!V16+Datos!AN16))/(Datos!V16+Datos!AN16))
     ),IF(D_I="SI",(Datos!L16-Datos!V16)/Datos!V16,(Datos!L16+Datos!AF16-(Datos!V16+Datos!AN16))/(Datos!V16+Datos!AN16))," - ")</f>
        <v>0.20582647245091831</v>
      </c>
      <c r="F16" s="456">
        <f>IF(ISNUMBER((Datos!M16-Datos!W16)/Datos!W16),(Datos!M16-Datos!W16)/Datos!W16," - ")</f>
        <v>8.1081081081081086E-2</v>
      </c>
      <c r="G16" s="457">
        <f>IF(ISNUMBER((Datos!N16-Datos!X16)/Datos!X16),(Datos!N16-Datos!X16)/Datos!X16," - ")</f>
        <v>-5.3140096618357488E-2</v>
      </c>
      <c r="H16" s="455">
        <f>IF(ISNUMBER(((NºAsuntos!G16/NºAsuntos!E16)-Datos!BD16)/Datos!BD16),((NºAsuntos!G16/NºAsuntos!E16)-Datos!BD16)/Datos!BD16," - ")</f>
        <v>-5.0259965337954855E-2</v>
      </c>
      <c r="I16" s="456">
        <f>IF(ISNUMBER(((NºAsuntos!I16/NºAsuntos!G16)-Datos!BE16)/Datos!BE16),((NºAsuntos!I16/NºAsuntos!G16)-Datos!BE16)/Datos!BE16," - ")</f>
        <v>2.6197455168406901E-2</v>
      </c>
      <c r="J16" s="461">
        <f>IF(ISNUMBER((('Resol  Asuntos'!D16/NºAsuntos!G16)-Datos!BF16)/Datos!BF16),(('Resol  Asuntos'!D16/NºAsuntos!G16)-Datos!BF16)/Datos!BF16," - ")</f>
        <v>-7.9964920672885284E-2</v>
      </c>
      <c r="K16" s="462">
        <f>IF(ISNUMBER((((NºAsuntos!C16+NºAsuntos!E16)/NºAsuntos!G16)-Datos!BG16)/Datos!BG16),(((NºAsuntos!C16+NºAsuntos!E16)/NºAsuntos!G16)-Datos!BG16)/Datos!BG16," - ")</f>
        <v>1.9186355153485386E-2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0.91860465116279066</v>
      </c>
      <c r="C17" s="456">
        <f>IF(ISNUMBER(
   IF(D_I="SI",(Datos!J17-Datos!T17)/Datos!T17,(Datos!J17+Datos!AD17-(Datos!T17+Datos!AL17))/(Datos!T17+Datos!AL17))
     ),IF(D_I="SI",(Datos!J17-Datos!T17)/Datos!T17,(Datos!J17+Datos!AD17-(Datos!T17+Datos!AL17))/(Datos!T17+Datos!AL17))," - ")</f>
        <v>7.3529411764705885E-2</v>
      </c>
      <c r="D17" s="456">
        <f>IF(ISNUMBER(
   IF(D_I="SI",(Datos!K17-Datos!U17)/Datos!U17,(Datos!K17+Datos!AE17-(Datos!U17+Datos!AM17))/(Datos!U17+Datos!AM17))
     ),IF(D_I="SI",(Datos!K17-Datos!U17)/Datos!U17,(Datos!K17+Datos!AE17-(Datos!U17+Datos!AM17))/(Datos!U17+Datos!AM17))," - ")</f>
        <v>0.10169491525423729</v>
      </c>
      <c r="E17" s="456">
        <f>IF(ISNUMBER(
   IF(D_I="SI",(Datos!L17-Datos!V17)/Datos!V17,(Datos!L17+Datos!AF17-(Datos!V17+Datos!AN17))/(Datos!V17+Datos!AN17))
     ),IF(D_I="SI",(Datos!L17-Datos!V17)/Datos!V17,(Datos!L17+Datos!AF17-(Datos!V17+Datos!AN17))/(Datos!V17+Datos!AN17))," - ")</f>
        <v>0.82105263157894737</v>
      </c>
      <c r="F17" s="456">
        <f>IF(ISNUMBER((Datos!M17-Datos!W17)/Datos!W17),(Datos!M17-Datos!W17)/Datos!W17," - ")</f>
        <v>-0.30434782608695654</v>
      </c>
      <c r="G17" s="457">
        <f>IF(ISNUMBER((Datos!N17-Datos!X17)/Datos!X17),(Datos!N17-Datos!X17)/Datos!X17," - ")</f>
        <v>-0.25</v>
      </c>
      <c r="H17" s="455">
        <f>IF(ISNUMBER(((NºAsuntos!G17/NºAsuntos!E17)-Datos!BD17)/Datos!BD17),((NºAsuntos!G17/NºAsuntos!E17)-Datos!BD17)/Datos!BD17," - ")</f>
        <v>2.6236359414905944E-2</v>
      </c>
      <c r="I17" s="456">
        <f>IF(ISNUMBER(((NºAsuntos!I17/NºAsuntos!G17)-Datos!BE17)/Datos!BE17),((NºAsuntos!I17/NºAsuntos!G17)-Datos!BE17)/Datos!BE17," - ")</f>
        <v>0.65295546558704454</v>
      </c>
      <c r="J17" s="461">
        <f>IF(ISNUMBER((('Resol  Asuntos'!D17/NºAsuntos!G17)-Datos!BF17)/Datos!BF17),(('Resol  Asuntos'!D17/NºAsuntos!G17)-Datos!BF17)/Datos!BF17," - ")</f>
        <v>-0.368561872909699</v>
      </c>
      <c r="K17" s="462">
        <f>IF(ISNUMBER((((NºAsuntos!C17+NºAsuntos!E17)/NºAsuntos!G17)-Datos!BG17)/Datos!BG17),(((NºAsuntos!C17+NºAsuntos!E17)/NºAsuntos!G17)-Datos!BG17)/Datos!BG17," - ")</f>
        <v>0.40279720279720266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0.22136953955135774</v>
      </c>
      <c r="C18" s="855">
        <f>IF(ISNUMBER(
   IF(Criterios!B14="SI",(Datos!J18-Datos!T18)/Datos!T18,(Datos!J18+Datos!AD18-(Datos!T18+Datos!AL18))/(Datos!T18+Datos!AL18))
     ),IF(Criterios!B14="SI",(Datos!J18-Datos!T18)/Datos!T18,(Datos!J18+Datos!AD18-(Datos!T18+Datos!AL18))/(Datos!T18+Datos!AL18))," - ")</f>
        <v>0.21915584415584416</v>
      </c>
      <c r="D18" s="855">
        <f>IF(ISNUMBER(
   IF(Criterios!B14="SI",(Datos!K18-Datos!U18)/Datos!U18,(Datos!K18+Datos!AE18-(Datos!U18+Datos!AM18))/(Datos!U18+Datos!AM18))
     ),IF(Criterios!B14="SI",(Datos!K18-Datos!U18)/Datos!U18,(Datos!K18+Datos!AE18-(Datos!U18+Datos!AM18))/(Datos!U18+Datos!AM18))," - ")</f>
        <v>0.16823899371069181</v>
      </c>
      <c r="E18" s="855">
        <f>IF(ISNUMBER(
   IF(Criterios!B14="SI",(Datos!L18-Datos!V18)/Datos!V18,(Datos!L18+Datos!AF18-(Datos!V18+Datos!AN18))/(Datos!V18+Datos!AN18))
     ),IF(Criterios!B14="SI",(Datos!L18-Datos!V18)/Datos!V18,(Datos!L18+Datos!AF18-(Datos!V18+Datos!AN18))/(Datos!V18+Datos!AN18))," - ")</f>
        <v>0.24074074074074073</v>
      </c>
      <c r="F18" s="856">
        <f>IF(ISNUMBER((Datos!M18-Datos!W18)/Datos!W18),(Datos!M18-Datos!W18)/Datos!W18," - ")</f>
        <v>-1.0309278350515464E-2</v>
      </c>
      <c r="G18" s="857">
        <f>IF(ISNUMBER((Datos!N18-Datos!X18)/Datos!X18),(Datos!N18-Datos!X18)/Datos!X18," - ")</f>
        <v>-7.2052401746724892E-2</v>
      </c>
      <c r="H18" s="857">
        <f>IF(ISNUMBER(((NºAsuntos!G18/NºAsuntos!E18)-Datos!BD18)/Datos!BD18),((NºAsuntos!G18/NºAsuntos!E18)-Datos!BD18)/Datos!BD18," - ")</f>
        <v>-4.1764021137435228E-2</v>
      </c>
      <c r="I18" s="857">
        <f>IF(ISNUMBER(((NºAsuntos!I18/NºAsuntos!G18)-Datos!BE18)/Datos!BE18),((NºAsuntos!I18/NºAsuntos!G18)-Datos!BE18)/Datos!BE18," - ")</f>
        <v>6.2060714819799578E-2</v>
      </c>
      <c r="J18" s="857">
        <f>IF(ISNUMBER((('Resol  Asuntos'!D18/NºAsuntos!G18)-Datos!BF18)/Datos!BF18),(('Resol  Asuntos'!D18/NºAsuntos!G18)-Datos!BF18)/Datos!BF18," - ")</f>
        <v>-0.15283539842655156</v>
      </c>
      <c r="K18" s="857">
        <f>IF(ISNUMBER((((NºAsuntos!C18+NºAsuntos!E18)/NºAsuntos!G18)-Datos!BG18)/Datos!BG18),(((NºAsuntos!C18+NºAsuntos!E18)/NºAsuntos!G18)-Datos!BG18)/Datos!BG18," - ")</f>
        <v>4.4973868661620994E-2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0.1189406479073067</v>
      </c>
      <c r="C19" s="802">
        <f>IF(ISNUMBER(
   IF(J_V="SI",(Datos!J19-Datos!T19)/Datos!T19,(Datos!J19+Datos!Z19-(Datos!T19+Datos!AH19))/(Datos!T19+Datos!AH19))
     ),IF(J_V="SI",(Datos!J19-Datos!T19)/Datos!T19,(Datos!J19+Datos!Z19-(Datos!T19+Datos!AH19))/(Datos!T19+Datos!AH19))," - ")</f>
        <v>0.71752577319587629</v>
      </c>
      <c r="D19" s="802">
        <f>IF(ISNUMBER(
   IF(J_V="SI",(Datos!K19-Datos!U19)/Datos!U19,(Datos!K19+Datos!AA19-(Datos!U19+Datos!AI19))/(Datos!U19+Datos!AI19))
     ),IF(J_V="SI",(Datos!K19-Datos!U19)/Datos!U19,(Datos!K19+Datos!AA19-(Datos!U19+Datos!AI19))/(Datos!U19+Datos!AI19))," - ")</f>
        <v>0.19106463878326996</v>
      </c>
      <c r="E19" s="802">
        <f>IF(ISNUMBER(
   IF(J_V="SI",(Datos!L19-Datos!V19)/Datos!V19,(Datos!L19+Datos!AB19-(Datos!V19+Datos!AJ19))/(Datos!V19+Datos!AJ19))
     ),IF(J_V="SI",(Datos!L19-Datos!V19)/Datos!V19,(Datos!L19+Datos!AB19-(Datos!V19+Datos!AJ19))/(Datos!V19+Datos!AJ19))," - ")</f>
        <v>0.24065589582830962</v>
      </c>
      <c r="F19" s="803">
        <f>IF(ISNUMBER((Datos!M19-Datos!W19)/Datos!W19),(Datos!M19-Datos!W19)/Datos!W19," - ")</f>
        <v>-8.1395348837209308E-2</v>
      </c>
      <c r="G19" s="804">
        <f>IF(ISNUMBER((Datos!N19-Datos!X19)/Datos!X19),(Datos!N19-Datos!X19)/Datos!X19," - ")</f>
        <v>1.0920436817472699E-2</v>
      </c>
      <c r="H19" s="805">
        <f>IF(ISNUMBER((Tasas!B19-Datos!BD19)/Datos!BD19),(Tasas!B19-Datos!BD19)/Datos!BD19," - ")</f>
        <v>-0.30652298942390638</v>
      </c>
      <c r="I19" s="806">
        <f>IF(ISNUMBER((Tasas!C19-Datos!BE19)/Datos!BE19),(Tasas!C19-Datos!BE19)/Datos!BE19," - ")</f>
        <v>4.1636075348269568E-2</v>
      </c>
      <c r="J19" s="807">
        <f>IF(ISNUMBER((Tasas!D19-Datos!BF19)/Datos!BF19),(Tasas!D19-Datos!BF19)/Datos!BF19," - ")</f>
        <v>-0.28935127123475091</v>
      </c>
      <c r="K19" s="807">
        <f>IF(ISNUMBER((Tasas!E19-Datos!BG19)/Datos!BG19),(Tasas!E19-Datos!BG19)/Datos!BG19," - ")</f>
        <v>3.3211156851177807E-2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gc6vj3J6/l4ZweQ36/1IJB2Qs5n7uAs6lc/e45TrznE7bmtYXZ8dW6/66inVNVeeA9kgXfQ++E0dhAZW0NCXg==" saltValue="XyCEKhWG+ocujhCrOiOj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MOGUER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0.55798687089715537</v>
      </c>
      <c r="C12" s="443">
        <f>IF(ISNUMBER(NºAsuntos!I12/NºAsuntos!G12),NºAsuntos!I12/NºAsuntos!G12," - ")</f>
        <v>6.0137254901960784</v>
      </c>
      <c r="D12" s="444">
        <f>IF(ISNUMBER('Resol  Asuntos'!D12/NºAsuntos!G12),'Resol  Asuntos'!D12/NºAsuntos!G12," - ")</f>
        <v>0.27647058823529413</v>
      </c>
      <c r="E12" s="445">
        <f>IF(ISNUMBER((NºAsuntos!C12+NºAsuntos!E12)/NºAsuntos!G12),(NºAsuntos!C12+NºAsuntos!E12)/NºAsuntos!G12," - ")</f>
        <v>7.0137254901960784</v>
      </c>
      <c r="G12" s="463"/>
    </row>
    <row r="13" spans="1:7" ht="14.25" thickTop="1" thickBot="1">
      <c r="A13" s="848" t="str">
        <f>Datos!A13</f>
        <v>TOTAL</v>
      </c>
      <c r="B13" s="858">
        <f>IF(ISNUMBER(NºAsuntos!G13/NºAsuntos!E13),NºAsuntos!G13/NºAsuntos!E13," - ")</f>
        <v>0.55737704918032782</v>
      </c>
      <c r="C13" s="859">
        <f>IF(ISNUMBER(NºAsuntos!I13/NºAsuntos!G13),NºAsuntos!I13/NºAsuntos!G13," - ")</f>
        <v>6.0156862745098039</v>
      </c>
      <c r="D13" s="860">
        <f>IF(ISNUMBER('Resol  Asuntos'!D13/NºAsuntos!G13),'Resol  Asuntos'!D13/NºAsuntos!G13," - ")</f>
        <v>0.27647058823529413</v>
      </c>
      <c r="E13" s="861">
        <f>IF(ISNUMBER((NºAsuntos!C13+NºAsuntos!E13)/NºAsuntos!G13),(NºAsuntos!C13+NºAsuntos!E13)/NºAsuntos!G13," - ")</f>
        <v>7.0156862745098039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2.808259587020649</v>
      </c>
      <c r="D16" s="444">
        <f>IF(ISNUMBER('Resol  Asuntos'!D16/NºAsuntos!G16),'Resol  Asuntos'!D16/NºAsuntos!G16," - ")</f>
        <v>0.11799410029498525</v>
      </c>
      <c r="E16" s="445">
        <f>IF(ISNUMBER((NºAsuntos!C16+NºAsuntos!E16)/NºAsuntos!G16),(NºAsuntos!C16+NºAsuntos!E16)/NºAsuntos!G16," - ")</f>
        <v>3.808259587020649</v>
      </c>
      <c r="G16" s="463"/>
    </row>
    <row r="17" spans="1:7" ht="13.5" thickBot="1">
      <c r="A17" s="402" t="str">
        <f>Datos!A17</f>
        <v>Jdos. Violencia contra la mujer</v>
      </c>
      <c r="B17" s="442">
        <f>IF(ISNUMBER(NºAsuntos!G17/NºAsuntos!E17),NºAsuntos!G17/NºAsuntos!E17," - ")</f>
        <v>0.8904109589041096</v>
      </c>
      <c r="C17" s="443">
        <f>IF(ISNUMBER(NºAsuntos!I17/NºAsuntos!G17),NºAsuntos!I17/NºAsuntos!G17," - ")</f>
        <v>2.6615384615384614</v>
      </c>
      <c r="D17" s="444">
        <f>IF(ISNUMBER('Resol  Asuntos'!D17/NºAsuntos!G17),'Resol  Asuntos'!D17/NºAsuntos!G17," - ")</f>
        <v>0.24615384615384617</v>
      </c>
      <c r="E17" s="445">
        <f>IF(ISNUMBER((NºAsuntos!C17+NºAsuntos!E17)/NºAsuntos!G17),(NºAsuntos!C17+NºAsuntos!E17)/NºAsuntos!G17," - ")</f>
        <v>3.6615384615384614</v>
      </c>
      <c r="G17" s="463"/>
    </row>
    <row r="18" spans="1:7" ht="14.25" thickTop="1" thickBot="1">
      <c r="A18" s="848" t="str">
        <f>Datos!A18</f>
        <v>TOTAL</v>
      </c>
      <c r="B18" s="858">
        <f>IF(ISNUMBER(NºAsuntos!G18/NºAsuntos!E18),NºAsuntos!G18/NºAsuntos!E18," - ")</f>
        <v>0.98934753661784292</v>
      </c>
      <c r="C18" s="859">
        <f>IF(ISNUMBER(NºAsuntos!I18/NºAsuntos!G18),NºAsuntos!I18/NºAsuntos!G18," - ")</f>
        <v>2.7954239569313595</v>
      </c>
      <c r="D18" s="862">
        <f>IF(ISNUMBER('Resol  Asuntos'!D18/NºAsuntos!G18),'Resol  Asuntos'!D18/NºAsuntos!G18," - ")</f>
        <v>0.12920592193808883</v>
      </c>
      <c r="E18" s="861">
        <f>IF(ISNUMBER((NºAsuntos!C18+NºAsuntos!E18)/NºAsuntos!G18),(NºAsuntos!C18+NºAsuntos!E18)/NºAsuntos!G18," - ")</f>
        <v>3.7954239569313595</v>
      </c>
      <c r="G18" s="463"/>
    </row>
    <row r="19" spans="1:7" ht="15.75" customHeight="1" thickTop="1" thickBot="1">
      <c r="A19" s="793" t="str">
        <f>Datos!A19</f>
        <v>TOTAL JURISDICCIONES</v>
      </c>
      <c r="B19" s="808">
        <f>IF(ISNUMBER(NºAsuntos!G19/NºAsuntos!E19),NºAsuntos!G19/NºAsuntos!E19," - ")</f>
        <v>0.75210084033613445</v>
      </c>
      <c r="C19" s="809">
        <f>IF(ISNUMBER(NºAsuntos!I19/NºAsuntos!G19),NºAsuntos!I19/NºAsuntos!G19," - ")</f>
        <v>4.1061452513966481</v>
      </c>
      <c r="D19" s="810">
        <f>IF(ISNUMBER('Resol  Asuntos'!D19/NºAsuntos!G19),'Resol  Asuntos'!D19/NºAsuntos!G19," - ")</f>
        <v>0.189146049481245</v>
      </c>
      <c r="E19" s="811">
        <f>IF(ISNUMBER((NºAsuntos!C19+NºAsuntos!E19)/NºAsuntos!G19),(NºAsuntos!C19+NºAsuntos!E19)/NºAsuntos!G19," - ")</f>
        <v>5.1061452513966481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Gw+FADpS8TAn8nlklyHx+8uqH96vxOAVyPmGG8jmxLAEtMWvgoQUfQQi7A+/MNbWHrcmq98r8WiT4HlAqzITA==" saltValue="ZOIyIWEbvKEt2Zi+IymI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MOGUER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141</v>
      </c>
      <c r="AJ12" s="229" t="str">
        <f>IF(ISNUMBER(Datos!BW12),Datos!BW12," - ")</f>
        <v xml:space="preserve"> - </v>
      </c>
      <c r="AK12" s="228" t="str">
        <f>IF(ISNUMBER(Datos!BX12),Datos!BX12," - ")</f>
        <v xml:space="preserve"> - </v>
      </c>
      <c r="AL12" s="243">
        <f>IF(ISNUMBER(NºAsuntos!G12/NºAsuntos!E12),NºAsuntos!G12/NºAsuntos!E12," - ")</f>
        <v>0.55798687089715537</v>
      </c>
      <c r="AM12" s="260">
        <f>IF(ISNUMBER(((NºAsuntos!I12/NºAsuntos!G12)*11)/factor_trimestre),((NºAsuntos!I12/NºAsuntos!G12)*11)/factor_trimestre," - ")</f>
        <v>18.041176470588237</v>
      </c>
      <c r="AN12" s="244">
        <f>IF(ISNUMBER('Resol  Asuntos'!D12/NºAsuntos!G12),'Resol  Asuntos'!D12/NºAsuntos!G12," - ")</f>
        <v>0.27647058823529413</v>
      </c>
      <c r="AO12" s="245">
        <f>IF(ISNUMBER((NºAsuntos!C12+NºAsuntos!E12)/NºAsuntos!G12),(NºAsuntos!C12+NºAsuntos!E12)/NºAsuntos!G12," - ")</f>
        <v>7.0137254901960784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61</v>
      </c>
      <c r="Y13" s="868">
        <f t="shared" si="4"/>
        <v>61</v>
      </c>
      <c r="Z13" s="868">
        <f t="shared" si="4"/>
        <v>0</v>
      </c>
      <c r="AA13" s="868">
        <f t="shared" si="4"/>
        <v>1</v>
      </c>
      <c r="AB13" s="868">
        <f t="shared" si="4"/>
        <v>2519</v>
      </c>
      <c r="AC13" s="868">
        <f t="shared" si="4"/>
        <v>1</v>
      </c>
      <c r="AD13" s="868">
        <f t="shared" si="4"/>
        <v>0</v>
      </c>
      <c r="AE13" s="872">
        <f t="shared" si="4"/>
        <v>0</v>
      </c>
      <c r="AF13" s="865">
        <f t="shared" si="4"/>
        <v>0</v>
      </c>
      <c r="AG13" s="873">
        <f t="shared" si="4"/>
        <v>0</v>
      </c>
      <c r="AH13" s="870">
        <f t="shared" si="4"/>
        <v>0</v>
      </c>
      <c r="AI13" s="865">
        <f t="shared" si="4"/>
        <v>141</v>
      </c>
      <c r="AJ13" s="867">
        <f t="shared" si="4"/>
        <v>0</v>
      </c>
      <c r="AK13" s="870">
        <f>SUBTOTAL(9,AK9:AK12)</f>
        <v>0</v>
      </c>
      <c r="AL13" s="874">
        <f>IF(ISNUMBER(NºAsuntos!G13/NºAsuntos!E13),NºAsuntos!G13/NºAsuntos!E13," - ")</f>
        <v>0.55737704918032782</v>
      </c>
      <c r="AM13" s="874">
        <f>IF(ISNUMBER(((NºAsuntos!I13/NºAsuntos!G13)*11)/factor_trimestre),((NºAsuntos!I13/NºAsuntos!G13)*11)/factor_trimestre," - ")</f>
        <v>18.047058823529412</v>
      </c>
      <c r="AN13" s="875">
        <f>IF(ISNUMBER('Resol  Asuntos'!D13/NºAsuntos!G13),'Resol  Asuntos'!D13/NºAsuntos!G13," - ")</f>
        <v>0.27647058823529413</v>
      </c>
      <c r="AO13" s="876">
        <f>IF(ISNUMBER((NºAsuntos!C13+NºAsuntos!E13)/NºAsuntos!G13),(NºAsuntos!C13+NºAsuntos!E13)/NºAsuntos!G13," - ")</f>
        <v>7.0156862745098039</v>
      </c>
      <c r="AP13" s="877" t="str">
        <f t="shared" si="2"/>
        <v xml:space="preserve"> - </v>
      </c>
      <c r="AQ13" s="877" t="str">
        <f>IF(ISNUMBER((H13-W13+K13)/(F13)),(H13-W13+K13)/(F13)," - ")</f>
        <v xml:space="preserve"> - </v>
      </c>
      <c r="AR13" s="878">
        <f>IF(ISNUMBER((Datos!P13-Datos!Q13)/(Datos!R13-Datos!P13+Datos!Q13)),(Datos!P13-Datos!Q13)/(Datos!R13-Datos!P13+Datos!Q13)," - ")</f>
        <v>2.6069246435845215E-2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1904</v>
      </c>
      <c r="G16" s="333">
        <f>IF(ISNUMBER(IF(D_I="SI",Datos!I16,Datos!I16+Datos!AC16)),IF(D_I="SI",Datos!I16,Datos!I16+Datos!AC16)," - ")</f>
        <v>1904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678</v>
      </c>
      <c r="X16" s="226">
        <f>IF(ISNUMBER(Datos!Q16),Datos!Q16," - ")</f>
        <v>8</v>
      </c>
      <c r="Y16" s="334">
        <f t="shared" ref="Y16:Y17" si="7">SUM(W16:X16)</f>
        <v>686</v>
      </c>
      <c r="Z16" s="335" t="str">
        <f>IF(ISNUMBER(Datos!CC16),Datos!CC16," - ")</f>
        <v xml:space="preserve"> - </v>
      </c>
      <c r="AA16" s="332">
        <f>IF(ISNUMBER(IF(D_I="SI",Datos!L16,Datos!L16+Datos!AF16)),IF(D_I="SI",Datos!L16,Datos!L16+Datos!AF16)," - ")</f>
        <v>1904</v>
      </c>
      <c r="AB16" s="334">
        <f>IF(ISNUMBER(Datos!R16),Datos!R16," - ")</f>
        <v>108</v>
      </c>
      <c r="AC16" s="334">
        <f t="shared" si="6"/>
        <v>2012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8.4247787610619476</v>
      </c>
      <c r="AN16" s="244">
        <f>IF(ISNUMBER('Resol  Asuntos'!D16/NºAsuntos!G16),'Resol  Asuntos'!D16/NºAsuntos!G16," - ")</f>
        <v>0.11799410029498525</v>
      </c>
      <c r="AO16" s="245">
        <f>IF(ISNUMBER((NºAsuntos!C16+NºAsuntos!E16)/NºAsuntos!G16),(NºAsuntos!C16+NºAsuntos!E16)/NºAsuntos!G16," - ")</f>
        <v>3.808259587020649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65</v>
      </c>
      <c r="X17" s="226">
        <f>IF(ISNUMBER(Datos!Q17),Datos!Q17," - ")</f>
        <v>0</v>
      </c>
      <c r="Y17" s="334">
        <f t="shared" si="7"/>
        <v>65</v>
      </c>
      <c r="Z17" s="335" t="str">
        <f>IF(ISNUMBER(Datos!CC17),Datos!CC17," - ")</f>
        <v xml:space="preserve"> - </v>
      </c>
      <c r="AA17" s="332">
        <f>IF(ISNUMBER(Datos!L17),Datos!L17,"-")</f>
        <v>173</v>
      </c>
      <c r="AB17" s="334">
        <f>IF(ISNUMBER(Datos!R17),Datos!R17," - ")</f>
        <v>0</v>
      </c>
      <c r="AC17" s="334">
        <f t="shared" si="6"/>
        <v>173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0.8904109589041096</v>
      </c>
      <c r="AM17" s="260">
        <f>IF(ISNUMBER(((NºAsuntos!I17/NºAsuntos!G17)*11)/factor_trimestre),((NºAsuntos!I17/NºAsuntos!G17)*11)/factor_trimestre," - ")</f>
        <v>7.9846153846153847</v>
      </c>
      <c r="AN17" s="244">
        <f>IF(ISNUMBER('Resol  Asuntos'!D17/NºAsuntos!G17),'Resol  Asuntos'!D17/NºAsuntos!G17," - ")</f>
        <v>0.24615384615384617</v>
      </c>
      <c r="AO17" s="245">
        <f>IF(ISNUMBER((NºAsuntos!C17+NºAsuntos!E17)/NºAsuntos!G17),(NºAsuntos!C17+NºAsuntos!E17)/NºAsuntos!G17," - ")</f>
        <v>3.6615384615384614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1904</v>
      </c>
      <c r="G18" s="866">
        <f>SUBTOTAL(9,G15:G17)</f>
        <v>2069</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743</v>
      </c>
      <c r="X18" s="867">
        <f t="shared" si="11"/>
        <v>8</v>
      </c>
      <c r="Y18" s="868">
        <f t="shared" si="11"/>
        <v>751</v>
      </c>
      <c r="Z18" s="868">
        <f t="shared" si="11"/>
        <v>0</v>
      </c>
      <c r="AA18" s="868">
        <f t="shared" si="11"/>
        <v>2077</v>
      </c>
      <c r="AB18" s="868">
        <f t="shared" si="11"/>
        <v>108</v>
      </c>
      <c r="AC18" s="868">
        <f t="shared" si="11"/>
        <v>2185</v>
      </c>
      <c r="AD18" s="868">
        <f t="shared" si="11"/>
        <v>0</v>
      </c>
      <c r="AE18" s="872">
        <f t="shared" si="11"/>
        <v>0</v>
      </c>
      <c r="AF18" s="865">
        <f t="shared" si="11"/>
        <v>0</v>
      </c>
      <c r="AG18" s="873">
        <f t="shared" si="11"/>
        <v>0</v>
      </c>
      <c r="AH18" s="870">
        <f t="shared" si="11"/>
        <v>0</v>
      </c>
      <c r="AI18" s="865">
        <f t="shared" si="11"/>
        <v>96</v>
      </c>
      <c r="AJ18" s="867">
        <f t="shared" si="11"/>
        <v>0</v>
      </c>
      <c r="AK18" s="870">
        <f t="shared" si="11"/>
        <v>0</v>
      </c>
      <c r="AL18" s="874">
        <f>IF(ISNUMBER(NºAsuntos!G18/NºAsuntos!E18),NºAsuntos!G18/NºAsuntos!E18," - ")</f>
        <v>0.98934753661784292</v>
      </c>
      <c r="AM18" s="874">
        <f>IF(ISNUMBER(((NºAsuntos!I18/NºAsuntos!G18)*11)/factor_trimestre),((NºAsuntos!I18/NºAsuntos!G18)*11)/factor_trimestre," - ")</f>
        <v>8.3862718707940793</v>
      </c>
      <c r="AN18" s="875">
        <f>IF(ISNUMBER('Resol  Asuntos'!D18/NºAsuntos!G18),'Resol  Asuntos'!D18/NºAsuntos!G18," - ")</f>
        <v>0.12920592193808883</v>
      </c>
      <c r="AO18" s="876">
        <f>IF(ISNUMBER((NºAsuntos!C18+NºAsuntos!E18)/NºAsuntos!G18),(NºAsuntos!C18+NºAsuntos!E18)/NºAsuntos!G18," - ")</f>
        <v>3.7954239569313595</v>
      </c>
      <c r="AP18" s="877" t="str">
        <f t="shared" si="2"/>
        <v xml:space="preserve"> - </v>
      </c>
      <c r="AQ18" s="877">
        <f>IF(ISNUMBER((H18-W18+K18)/(F18)),(H18-W18+K18)/(F18)," - ")</f>
        <v>-0.39023109243697479</v>
      </c>
      <c r="AR18" s="878">
        <f>IF(ISNUMBER((Datos!P18-Datos!Q18)/(Datos!R18-Datos!P18+Datos!Q18)),(Datos!P18-Datos!Q18)/(Datos!R18-Datos!P18+Datos!Q18)," - ")</f>
        <v>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1904</v>
      </c>
      <c r="G19" s="821">
        <f t="shared" si="13"/>
        <v>2069</v>
      </c>
      <c r="H19" s="820">
        <f t="shared" si="13"/>
        <v>0</v>
      </c>
      <c r="I19" s="822">
        <f t="shared" si="13"/>
        <v>0</v>
      </c>
      <c r="J19" s="822">
        <f t="shared" si="13"/>
        <v>0</v>
      </c>
      <c r="K19" s="881">
        <f t="shared" si="13"/>
        <v>0</v>
      </c>
      <c r="L19" s="822">
        <f t="shared" si="13"/>
        <v>151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743</v>
      </c>
      <c r="X19" s="821">
        <f t="shared" si="14"/>
        <v>69</v>
      </c>
      <c r="Y19" s="828">
        <f t="shared" si="14"/>
        <v>812</v>
      </c>
      <c r="Z19" s="828">
        <f t="shared" si="14"/>
        <v>0</v>
      </c>
      <c r="AA19" s="828">
        <f t="shared" si="14"/>
        <v>2078</v>
      </c>
      <c r="AB19" s="828">
        <f t="shared" si="14"/>
        <v>2627</v>
      </c>
      <c r="AC19" s="828">
        <f t="shared" si="14"/>
        <v>2186</v>
      </c>
      <c r="AD19" s="828">
        <f t="shared" si="14"/>
        <v>0</v>
      </c>
      <c r="AE19" s="830">
        <f t="shared" si="14"/>
        <v>0</v>
      </c>
      <c r="AF19" s="831">
        <f t="shared" si="14"/>
        <v>0</v>
      </c>
      <c r="AG19" s="832">
        <f t="shared" si="14"/>
        <v>0</v>
      </c>
      <c r="AH19" s="830">
        <f t="shared" si="14"/>
        <v>0</v>
      </c>
      <c r="AI19" s="820">
        <f t="shared" si="14"/>
        <v>237</v>
      </c>
      <c r="AJ19" s="820">
        <f t="shared" si="14"/>
        <v>0</v>
      </c>
      <c r="AK19" s="830">
        <f t="shared" si="14"/>
        <v>0</v>
      </c>
      <c r="AL19" s="884">
        <f>IF(ISNUMBER(NºAsuntos!G19/NºAsuntos!E19),NºAsuntos!G19/NºAsuntos!E19," - ")</f>
        <v>0.75210084033613445</v>
      </c>
      <c r="AM19" s="885">
        <f>IF(ISNUMBER(((NºAsuntos!I19/NºAsuntos!G19)*11)/factor_trimestre),((NºAsuntos!I19/NºAsuntos!G19)*11)/factor_trimestre," - ")</f>
        <v>12.318435754189943</v>
      </c>
      <c r="AN19" s="885">
        <f>IF(ISNUMBER('Resol  Asuntos'!D19/NºAsuntos!G19),'Resol  Asuntos'!D19/NºAsuntos!G19," - ")</f>
        <v>0.189146049481245</v>
      </c>
      <c r="AO19" s="886">
        <f>IF(ISNUMBER((NºAsuntos!C19+NºAsuntos!E19)/NºAsuntos!G19),(NºAsuntos!C19+NºAsuntos!E19)/NºAsuntos!G19," - ")</f>
        <v>5.1061452513966481</v>
      </c>
      <c r="AP19" s="887" t="str">
        <f t="shared" si="2"/>
        <v xml:space="preserve"> - </v>
      </c>
      <c r="AQ19" s="888">
        <f>IF(OR(ISNUMBER(FIND("01",Criterios!A8,1)),ISNUMBER(FIND("02",Criterios!A8,1)),ISNUMBER(FIND("03",Criterios!A8,1)),ISNUMBER(FIND("04",Criterios!A8,1))),(I19-W19+K19)/(F19-K19),(H19-W19+K19)/(F19-K19))</f>
        <v>-0.39023109243697479</v>
      </c>
      <c r="AR19" s="889">
        <f>IF(ISNUMBER((Datos!P19-Datos!Q19)/(Datos!R19-Datos!P19+Datos!Q19)),(Datos!P19-Datos!Q19)/(Datos!R19-Datos!P19+Datos!Q19)," - ")</f>
        <v>3.2220039292730845E-2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1099.2749125370474</v>
      </c>
      <c r="G21" s="253">
        <f>IF(ISNUMBER(STDEV(G8:G18)),STDEV(G8:G18),"-")</f>
        <v>1061.6724071011736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378.91912065769395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60.312519430048681</v>
      </c>
      <c r="AJ21" s="252">
        <f t="shared" si="18"/>
        <v>0</v>
      </c>
      <c r="AK21" s="254">
        <f t="shared" si="18"/>
        <v>0</v>
      </c>
      <c r="AL21" s="249">
        <f t="shared" si="18"/>
        <v>0.38301215674111094</v>
      </c>
      <c r="AM21" s="250">
        <f t="shared" si="18"/>
        <v>5.3588951465595303</v>
      </c>
      <c r="AN21" s="250">
        <f t="shared" si="18"/>
        <v>7.9268218858963055E-2</v>
      </c>
      <c r="AO21" s="251">
        <f t="shared" si="18"/>
        <v>1.7862983821865075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zvL1YrFazrdfjrylhyNC1grmstYO+edHvTXOKzcjaJM+nmFgTeOQ/z80j+z+G5hzplD03+SoBUIwBnq5mu8zQ==" saltValue="L+vTLGz6cRjbuTxRTrDC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MOGUER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-0.75</v>
      </c>
      <c r="F10" s="348">
        <f>IF(ISNUMBER((Datos!K10-Datos!U10)/Datos!U10),(Datos!K10-Datos!U10)/Datos!U10," - ")</f>
        <v>-1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-0.12422360248447205</v>
      </c>
      <c r="I12" s="350">
        <f>IF(ISNUMBER((Tasas!C12-Datos!BE12)/Datos!BE12),(Tasas!C12-Datos!BE12)/Datos!BE12," - ")</f>
        <v>-5.4129698786105967E-3</v>
      </c>
      <c r="J12" s="349">
        <f>IF(ISNUMBER((Tasas!D12-Datos!BF12)/Datos!BF12),(Tasas!D12-Datos!BF12)/Datos!BF12," - ")</f>
        <v>-0.38209578913532621</v>
      </c>
      <c r="K12" s="351">
        <f>IF(ISNUMBER((Tasas!E12-Datos!BG12)/Datos!BG12),(Tasas!E12-Datos!BG12)/Datos!BG12," - ")</f>
        <v>-4.644786436434423E-3</v>
      </c>
      <c r="M12" t="e">
        <f>IF(Monitorios="SI",Datos!CE12,0)</f>
        <v>#REF!</v>
      </c>
      <c r="N12" t="e">
        <f>IF(Monitorios="SI",Datos!CF12,0)</f>
        <v>#REF!</v>
      </c>
      <c r="O12" t="e">
        <f>IF(Monitorios="SI",Datos!CG12,0)</f>
        <v>#REF!</v>
      </c>
      <c r="P12" t="e">
        <f>IF(Monitorios="SI",Datos!CH12,0)</f>
        <v>#REF!</v>
      </c>
      <c r="Q12">
        <f>IF(J_V="SI",0,Datos!AG12)</f>
        <v>60</v>
      </c>
      <c r="R12">
        <f>IF(J_V="SI",0,Datos!AH12)</f>
        <v>12</v>
      </c>
      <c r="S12">
        <f>IF(J_V="SI",0,Datos!AI12)</f>
        <v>27</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-0.12422360248447205</v>
      </c>
      <c r="I13" s="357">
        <f>IF(ISNUMBER((Tasas!C13-Datos!BE13)/Datos!BE13),(Tasas!C13-Datos!BE13)/Datos!BE13," - ")</f>
        <v>1.1939138777225421E-2</v>
      </c>
      <c r="J13" s="355">
        <f>IF(ISNUMBER((Tasas!D13-Datos!BF13)/Datos!BF13),(Tasas!D13-Datos!BF13)/Datos!BF13," - ")</f>
        <v>-0.37152041144326581</v>
      </c>
      <c r="K13" s="358">
        <f>IF(ISNUMBER((Tasas!E13-Datos!BG13)/Datos!BG13),(Tasas!E13-Datos!BG13)/Datos!BG13," - ")</f>
        <v>1.021996891522273E-2</v>
      </c>
      <c r="M13" t="e">
        <f>IF(Monitorios="SI",Datos!CE13,0)</f>
        <v>#REF!</v>
      </c>
      <c r="N13" t="e">
        <f>IF(Monitorios="SI",Datos!CF13,0)</f>
        <v>#REF!</v>
      </c>
      <c r="O13" t="e">
        <f>IF(Monitorios="SI",Datos!CG13,0)</f>
        <v>#REF!</v>
      </c>
      <c r="P13" t="e">
        <f>IF(Monitorios="SI",Datos!CH13,0)</f>
        <v>#REF!</v>
      </c>
      <c r="Q13">
        <f>IF(J_V="SI",0,Datos!AG13)</f>
        <v>60</v>
      </c>
      <c r="R13">
        <f>IF(J_V="SI",0,Datos!AH13)</f>
        <v>12</v>
      </c>
      <c r="S13">
        <f>IF(J_V="SI",0,Datos!AI13)</f>
        <v>27</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0.18407960199004975</v>
      </c>
      <c r="E16" s="348">
        <f>IF(ISNUMBER(
   IF(D_I="SI",(Datos!J16-Datos!T16)/Datos!T16,(Datos!J16+Datos!AD16-(Datos!T16+Datos!AL16))/(Datos!T16+Datos!AL16))
     ),IF(D_I="SI",(Datos!J16-Datos!T16)/Datos!T16,(Datos!J16+Datos!AD16-(Datos!T16+Datos!AL16))/(Datos!T16+Datos!AL16))," - ")</f>
        <v>0.23722627737226276</v>
      </c>
      <c r="F16" s="348">
        <f>IF(ISNUMBER(
   IF(D_I="SI",(Datos!K16-Datos!U16)/Datos!U16,(Datos!K16+Datos!AE16-(Datos!U16+Datos!AM16))/(Datos!U16+Datos!AM16))
     ),IF(D_I="SI",(Datos!K16-Datos!U16)/Datos!U16,(Datos!K16+Datos!AE16-(Datos!U16+Datos!AM16))/(Datos!U16+Datos!AM16))," - ")</f>
        <v>0.17504332755632582</v>
      </c>
      <c r="G16" s="349">
        <f>IF(ISNUMBER(
   IF(D_I="SI",(Datos!L16-Datos!V16)/Datos!V16,(Datos!L16+Datos!AF16-(Datos!V16+Datos!AN16))/(Datos!V16+Datos!AN16))
     ),IF(D_I="SI",(Datos!L16-Datos!V16)/Datos!V16,(Datos!L16+Datos!AF16-(Datos!V16+Datos!AN16))/(Datos!V16+Datos!AN16))," - ")</f>
        <v>0.20582647245091831</v>
      </c>
      <c r="H16" s="230">
        <f>IF(ISNUMBER((Datos!M16-Datos!W16)/Datos!W16),(Datos!M16-Datos!W16)/Datos!W16," - ")</f>
        <v>8.1081081081081086E-2</v>
      </c>
      <c r="I16" s="350">
        <f>IF(ISNUMBER((Tasas!C16-Datos!BE16)/Datos!BE16),(Tasas!C16-Datos!BE16)/Datos!BE16," - ")</f>
        <v>2.6197455168406901E-2</v>
      </c>
      <c r="J16" s="349">
        <f>IF(ISNUMBER((Tasas!D16-Datos!BF16)/Datos!BF16),(Tasas!D16-Datos!BF16)/Datos!BF16," - ")</f>
        <v>-7.9964920672885284E-2</v>
      </c>
      <c r="K16" s="351">
        <f>IF(ISNUMBER((Tasas!E16-Datos!BG16)/Datos!BG16),(Tasas!E16-Datos!BG16)/Datos!BG16," - ")</f>
        <v>1.9186355153485386E-2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0.91860465116279066</v>
      </c>
      <c r="E17" s="348">
        <f>IF(ISNUMBER(
   IF(D_I="SI",(Datos!J17-Datos!T17)/Datos!T17,(Datos!J17+Datos!AD17-(Datos!T17+Datos!AL17))/(Datos!T17+Datos!AL17))
     ),IF(D_I="SI",(Datos!J17-Datos!T17)/Datos!T17,(Datos!J17+Datos!AD17-(Datos!T17+Datos!AL17))/(Datos!T17+Datos!AL17))," - ")</f>
        <v>7.3529411764705885E-2</v>
      </c>
      <c r="F17" s="348">
        <f>IF(ISNUMBER(
   IF(D_I="SI",(Datos!K17-Datos!U17)/Datos!U17,(Datos!K17+Datos!AE17-(Datos!U17+Datos!AM17))/(Datos!U17+Datos!AM17))
     ),IF(D_I="SI",(Datos!K17-Datos!U17)/Datos!U17,(Datos!K17+Datos!AE17-(Datos!U17+Datos!AM17))/(Datos!U17+Datos!AM17))," - ")</f>
        <v>0.10169491525423729</v>
      </c>
      <c r="G17" s="349">
        <f>IF(ISNUMBER(
   IF(D_I="SI",(Datos!L17-Datos!V17)/Datos!V17,(Datos!L17+Datos!AF17-(Datos!V17+Datos!AN17))/(Datos!V17+Datos!AN17))
     ),IF(D_I="SI",(Datos!L17-Datos!V17)/Datos!V17,(Datos!L17+Datos!AF17-(Datos!V17+Datos!AN17))/(Datos!V17+Datos!AN17))," - ")</f>
        <v>0.82105263157894737</v>
      </c>
      <c r="H17" s="230">
        <f>IF(ISNUMBER((Datos!M17-Datos!W17)/Datos!W17),(Datos!M17-Datos!W17)/Datos!W17," - ")</f>
        <v>-0.30434782608695654</v>
      </c>
      <c r="I17" s="350">
        <f>IF(ISNUMBER((Tasas!C17-Datos!BE17)/Datos!BE17),(Tasas!C17-Datos!BE17)/Datos!BE17," - ")</f>
        <v>0.65295546558704454</v>
      </c>
      <c r="J17" s="349">
        <f>IF(ISNUMBER((Tasas!D17-Datos!BF17)/Datos!BF17),(Tasas!D17-Datos!BF17)/Datos!BF17," - ")</f>
        <v>-0.368561872909699</v>
      </c>
      <c r="K17" s="351">
        <f>IF(ISNUMBER((Tasas!E17-Datos!BG17)/Datos!BG17),(Tasas!E17-Datos!BG17)/Datos!BG17," - ")</f>
        <v>0.40279720279720266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0.22136953955135774</v>
      </c>
      <c r="E18" s="354">
        <f>IF(ISNUMBER(
   IF(D_I="SI",(Datos!J18-Datos!T18)/Datos!T18,(Datos!J18+Datos!AD18-(Datos!T18+Datos!AL18))/(Datos!T18+Datos!AL18))
     ),IF(D_I="SI",(Datos!J18-Datos!T18)/Datos!T18,(Datos!J18+Datos!AD18-(Datos!T18+Datos!AL18))/(Datos!T18+Datos!AL18))," - ")</f>
        <v>0.21915584415584416</v>
      </c>
      <c r="F18" s="354">
        <f>IF(ISNUMBER(
   IF(D_I="SI",(Datos!K18-Datos!U18)/Datos!U18,(Datos!K18+Datos!AE18-(Datos!U18+Datos!AM18))/(Datos!U18+Datos!AM18))
     ),IF(D_I="SI",(Datos!K18-Datos!U18)/Datos!U18,(Datos!K18+Datos!AE18-(Datos!U18+Datos!AM18))/(Datos!U18+Datos!AM18))," - ")</f>
        <v>0.16823899371069181</v>
      </c>
      <c r="G18" s="355">
        <f>IF(ISNUMBER(
   IF(D_I="SI",(Datos!L18-Datos!V18)/Datos!V18,(Datos!L18+Datos!AF18-(Datos!V18+Datos!AN18))/(Datos!V18+Datos!AN18))
     ),IF(D_I="SI",(Datos!L18-Datos!V18)/Datos!V18,(Datos!L18+Datos!AF18-(Datos!V18+Datos!AN18))/(Datos!V18+Datos!AN18))," - ")</f>
        <v>0.24074074074074073</v>
      </c>
      <c r="H18" s="356">
        <f>IF(ISNUMBER((Datos!M18-Datos!W18)/Datos!W18),(Datos!M18-Datos!W18)/Datos!W18," - ")</f>
        <v>-1.0309278350515464E-2</v>
      </c>
      <c r="I18" s="357">
        <f>IF(ISNUMBER((Tasas!C18-Datos!BE18)/Datos!BE18),(Tasas!C18-Datos!BE18)/Datos!BE18," - ")</f>
        <v>6.2060714819799578E-2</v>
      </c>
      <c r="J18" s="355">
        <f>IF(ISNUMBER((Tasas!D18-Datos!BF18)/Datos!BF18),(Tasas!D18-Datos!BF18)/Datos!BF18," - ")</f>
        <v>-0.15283539842655156</v>
      </c>
      <c r="K18" s="358">
        <f>IF(ISNUMBER((Tasas!E18-Datos!BG18)/Datos!BG18),(Tasas!E18-Datos!BG18)/Datos!BG18," - ")</f>
        <v>4.4973868661620994E-2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0.1189406479073067</v>
      </c>
      <c r="E19" s="363">
        <f>IF(ISNUMBER(
   IF(J_V="SI",(Datos!J19-Datos!T19)/Datos!T19,(Datos!J19+Datos!Z19-(Datos!T19+Datos!AH19))/(Datos!T19+Datos!AH19))
     ),IF(J_V="SI",(Datos!J19-Datos!T19)/Datos!T19,(Datos!J19+Datos!Z19-(Datos!T19+Datos!AH19))/(Datos!T19+Datos!AH19))," - ")</f>
        <v>0.71752577319587629</v>
      </c>
      <c r="F19" s="363">
        <f>IF(ISNUMBER(
   IF(J_V="SI",(Datos!K19-Datos!U19)/Datos!U19,(Datos!K19+Datos!AA19-(Datos!U19+Datos!AI19))/(Datos!U19+Datos!AI19))
     ),IF(J_V="SI",(Datos!K19-Datos!U19)/Datos!U19,(Datos!K19+Datos!AA19-(Datos!U19+Datos!AI19))/(Datos!U19+Datos!AI19))," - ")</f>
        <v>0.19106463878326996</v>
      </c>
      <c r="G19" s="364">
        <f>IF(ISNUMBER(
   IF(J_V="SI",(Datos!L19-Datos!V19)/Datos!V19,(Datos!L19+Datos!AB19-(Datos!V19+Datos!AJ19))/(Datos!V19+Datos!AJ19))
     ),IF(J_V="SI",(Datos!L19-Datos!V19)/Datos!V19,(Datos!L19+Datos!AB19-(Datos!V19+Datos!AJ19))/(Datos!V19+Datos!AJ19))," - ")</f>
        <v>0.24065589582830962</v>
      </c>
      <c r="H19" s="365">
        <f>IF(ISNUMBER((Datos!M19-Datos!W19)/Datos!W19),(Datos!M19-Datos!W19)/Datos!W19," - ")</f>
        <v>-8.1395348837209308E-2</v>
      </c>
      <c r="I19" s="362">
        <f>IF(ISNUMBER((Tasas!C19-Datos!BE19)/Datos!BE19),(Tasas!C19-Datos!BE19)/Datos!BE19," - ")</f>
        <v>4.1636075348269568E-2</v>
      </c>
      <c r="J19" s="363">
        <f>IF(ISNUMBER((Tasas!D19-Datos!BF19)/Datos!BF19),(Tasas!D19-Datos!BF19)/Datos!BF19," - ")</f>
        <v>-0.28935127123475091</v>
      </c>
      <c r="K19" s="364">
        <f>IF(ISNUMBER((Tasas!E19-Datos!BG19)/Datos!BG19),(Tasas!E19-Datos!BG19)/Datos!BG19," - ")</f>
        <v>3.3211156851177807E-2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0.79592117761044945</v>
      </c>
      <c r="E21" s="278">
        <f t="shared" si="1"/>
        <v>0.46907797212675489</v>
      </c>
      <c r="F21" s="278">
        <f t="shared" si="1"/>
        <v>0.57511558673610652</v>
      </c>
      <c r="G21" s="279">
        <f t="shared" si="1"/>
        <v>0.34556333805682554</v>
      </c>
      <c r="H21" s="285">
        <f t="shared" si="1"/>
        <v>0.14465627403663336</v>
      </c>
      <c r="I21" s="277">
        <f t="shared" si="1"/>
        <v>0.28250555714001663</v>
      </c>
      <c r="J21" s="278">
        <f t="shared" si="1"/>
        <v>0.14354635229702398</v>
      </c>
      <c r="K21" s="279">
        <f t="shared" si="1"/>
        <v>0.1732808126586001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YtqRdqsgt2F7ei+QKywJeYNgX8UbwAF+635lOk+x33iV2R0qapsWUHlf0iUeIhFGTsbzL0GxLWCdY++89Gh6w==" saltValue="RyDpIIVukXfVFpJudUVK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66.150980392156868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1904</v>
      </c>
      <c r="D16" s="225">
        <f>IF(ISNUMBER(IF(D_I="SI",Datos!I16,Datos!I16+Datos!AC16)),IF(D_I="SI",Datos!I16,Datos!I16+Datos!AC16)," - ")</f>
        <v>1904</v>
      </c>
      <c r="E16" s="226">
        <f>IF(ISNUMBER(IF(D_I="SI",Datos!J16,Datos!J16+Datos!AD16)),IF(D_I="SI",Datos!J16,Datos!J16+Datos!AD16)," - ")</f>
        <v>678</v>
      </c>
      <c r="F16" s="226">
        <f>IF(ISNUMBER(IF(D_I="SI",Datos!K16,Datos!K16+Datos!AE16)),IF(D_I="SI",Datos!K16,Datos!K16+Datos!AE16)," - ")</f>
        <v>678</v>
      </c>
      <c r="G16" s="1034" t="str">
        <f>IF(Datos!E16&lt;&gt;"",Datos!E16,Datos!D16)</f>
        <v>04</v>
      </c>
      <c r="H16" s="227">
        <f>IF(ISNUMBER(IF(D_I="SI",Datos!L16,Datos!L16+Datos!AF16)),IF(D_I="SI",Datos!L16,Datos!L16+Datos!AF16)," - ")</f>
        <v>1904</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30.89085545722714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165</v>
      </c>
      <c r="D17" s="225">
        <f>IF(ISNUMBER(IF(D_I="SI",Datos!I17,Datos!I17+Datos!AC17)),IF(D_I="SI",Datos!I17,Datos!I17+Datos!AC17)," - ")</f>
        <v>165</v>
      </c>
      <c r="E17" s="226">
        <f>IF(ISNUMBER(IF(D_I="SI",Datos!J17,Datos!J17+Datos!AD17)),IF(D_I="SI",Datos!J17,Datos!J17+Datos!AD17)," - ")</f>
        <v>73</v>
      </c>
      <c r="F17" s="226">
        <f>IF(ISNUMBER(IF(D_I="SI",Datos!K17,Datos!K17+Datos!AE17)),IF(D_I="SI",Datos!K17,Datos!K17+Datos!AE17)," - ")</f>
        <v>65</v>
      </c>
      <c r="G17" s="1034" t="str">
        <f>IF(Datos!E17&lt;&gt;"",Datos!E17,Datos!D17)</f>
        <v>37</v>
      </c>
      <c r="H17" s="227">
        <f>IF(ISNUMBER(IF(D_I="SI",Datos!L17,Datos!L17+Datos!AF17)),IF(D_I="SI",Datos!L17,Datos!L17+Datos!AF17)," - ")</f>
        <v>173</v>
      </c>
      <c r="I17" s="1044" t="str">
        <f>IF(ISNUMBER(Datos!AS17/Datos!BM17),Datos!AS17/Datos!BM17," - ")</f>
        <v xml:space="preserve"> - </v>
      </c>
      <c r="J17" s="1045" t="str">
        <f>IF(ISNUMBER((Datos!BY17+Datos!BZ17)/Datos!CN17),(Datos!BY17+Datos!BZ17)/Datos!CN17," - ")</f>
        <v xml:space="preserve"> - </v>
      </c>
      <c r="K17" s="230">
        <f t="shared" si="3"/>
        <v>4.8484848484848485E-2</v>
      </c>
      <c r="L17" s="1025">
        <f>IF(ISNUMBER(NºAsuntos!I17/NºAsuntos!G17),(NºAsuntos!I17/NºAsuntos!G17)*11," - ")</f>
        <v>29.276923076923076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2069</v>
      </c>
      <c r="D18" s="1049">
        <f>SUBTOTAL(9,D15:D17)</f>
        <v>2069</v>
      </c>
      <c r="E18" s="1050">
        <f>SUBTOTAL(9,E15:E17)</f>
        <v>751</v>
      </c>
      <c r="F18" s="1050">
        <f>SUBTOTAL(9,F15:F17)</f>
        <v>743</v>
      </c>
      <c r="G18" s="1052" t="str">
        <f ca="1">INDIRECT(CONCATENATE("G",ROW()-1))</f>
        <v>37</v>
      </c>
      <c r="H18" s="1053">
        <f ca="1">SUMIF(G$14:G17,G18,H$14:H17)</f>
        <v>173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2069</v>
      </c>
      <c r="D19" s="1071">
        <f>SUBTOTAL(9,D9:D18)</f>
        <v>2069</v>
      </c>
      <c r="E19" s="1072">
        <f>SUBTOTAL(9,E9:E18)</f>
        <v>752</v>
      </c>
      <c r="F19" s="1072">
        <f>SUBTOTAL(9,F9:F18)</f>
        <v>743</v>
      </c>
      <c r="G19" s="1073"/>
      <c r="H19" s="1074">
        <f ca="1">SUMIF(B9:B18,"TOTAL",H9:H18)</f>
        <v>173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pHTveSfKpxOc9AwicHLiSlRV85Quk0zMAbBmdS+lDF84AjUN9u3779Eo4H2AoxzeH4mYhicgUpumSaHLBfhUQ==" saltValue="qgX79rYM/AUcXxSeQJZk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6+GKoG0mJaHZP3Va5QvXyn4yt/PqCs88QGIJxSPjgS5npa5Rgbx+DPjmwYl4++sAIskqhPxsEIaXtdD+vI4hg==" saltValue="A0Gmp9z2pAPT/gWt2Dd8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3</v>
      </c>
      <c r="T10" s="181">
        <v>4</v>
      </c>
      <c r="U10" s="181">
        <v>7</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7</v>
      </c>
      <c r="BB10" s="129">
        <f t="shared" si="0"/>
        <v>0</v>
      </c>
      <c r="BC10" s="125">
        <f t="shared" si="0"/>
        <v>0</v>
      </c>
      <c r="BD10" s="126">
        <f>IF(ISNUMBER(BA10/AZ10),BA10/AZ10," - ")</f>
        <v>1.75</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2616</v>
      </c>
      <c r="J12" s="183">
        <v>892</v>
      </c>
      <c r="K12" s="183">
        <v>502</v>
      </c>
      <c r="L12" s="183">
        <v>3006</v>
      </c>
      <c r="M12" s="183">
        <v>141</v>
      </c>
      <c r="N12" s="183">
        <v>223</v>
      </c>
      <c r="O12" s="181">
        <v>163</v>
      </c>
      <c r="P12" s="183">
        <v>125</v>
      </c>
      <c r="Q12" s="183">
        <v>61</v>
      </c>
      <c r="R12" s="183">
        <v>2519</v>
      </c>
      <c r="S12" s="183">
        <v>2472</v>
      </c>
      <c r="T12" s="183">
        <v>338</v>
      </c>
      <c r="U12" s="183">
        <v>382</v>
      </c>
      <c r="V12" s="183">
        <v>2428</v>
      </c>
      <c r="W12" s="183">
        <v>161</v>
      </c>
      <c r="X12" s="189">
        <v>183</v>
      </c>
      <c r="Y12" s="191">
        <v>47</v>
      </c>
      <c r="Z12" s="181">
        <v>22</v>
      </c>
      <c r="AA12" s="181">
        <v>8</v>
      </c>
      <c r="AB12" s="181">
        <v>61</v>
      </c>
      <c r="AC12" s="183">
        <v>0</v>
      </c>
      <c r="AD12" s="183">
        <v>0</v>
      </c>
      <c r="AE12" s="183">
        <v>0</v>
      </c>
      <c r="AF12" s="189">
        <v>0</v>
      </c>
      <c r="AG12" s="202">
        <v>60</v>
      </c>
      <c r="AH12" s="183">
        <v>12</v>
      </c>
      <c r="AI12" s="183">
        <v>27</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2532</v>
      </c>
      <c r="AZ12" s="127">
        <f t="shared" si="1"/>
        <v>350</v>
      </c>
      <c r="BA12" s="127">
        <f t="shared" si="1"/>
        <v>409</v>
      </c>
      <c r="BB12" s="127">
        <f t="shared" si="1"/>
        <v>2473</v>
      </c>
      <c r="BC12" s="125">
        <f>IF(ISNUMBER(X12),X12," - ")</f>
        <v>183</v>
      </c>
      <c r="BD12" s="126">
        <f t="shared" si="2"/>
        <v>1.1685714285714286</v>
      </c>
      <c r="BE12" s="127">
        <f t="shared" si="3"/>
        <v>6.0464547677261615</v>
      </c>
      <c r="BF12" s="127">
        <f t="shared" si="4"/>
        <v>0.44743276283618583</v>
      </c>
      <c r="BG12" s="196">
        <f t="shared" si="5"/>
        <v>7.0464547677261615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2616</v>
      </c>
      <c r="J13" s="184">
        <f t="shared" si="6"/>
        <v>893</v>
      </c>
      <c r="K13" s="184">
        <f t="shared" si="6"/>
        <v>502</v>
      </c>
      <c r="L13" s="184">
        <f t="shared" si="6"/>
        <v>3007</v>
      </c>
      <c r="M13" s="184">
        <f t="shared" si="6"/>
        <v>141</v>
      </c>
      <c r="N13" s="184">
        <f t="shared" si="6"/>
        <v>223</v>
      </c>
      <c r="O13" s="184">
        <f t="shared" si="6"/>
        <v>163</v>
      </c>
      <c r="P13" s="184">
        <f t="shared" si="6"/>
        <v>125</v>
      </c>
      <c r="Q13" s="184">
        <f t="shared" si="6"/>
        <v>61</v>
      </c>
      <c r="R13" s="184">
        <f t="shared" si="6"/>
        <v>2519</v>
      </c>
      <c r="S13" s="184">
        <f t="shared" si="6"/>
        <v>2475</v>
      </c>
      <c r="T13" s="184">
        <f t="shared" si="6"/>
        <v>342</v>
      </c>
      <c r="U13" s="184">
        <f t="shared" si="6"/>
        <v>389</v>
      </c>
      <c r="V13" s="184">
        <f t="shared" si="6"/>
        <v>2428</v>
      </c>
      <c r="W13" s="184">
        <f t="shared" si="6"/>
        <v>161</v>
      </c>
      <c r="X13" s="184">
        <f t="shared" si="6"/>
        <v>183</v>
      </c>
      <c r="Y13" s="184">
        <f t="shared" si="6"/>
        <v>47</v>
      </c>
      <c r="Z13" s="184">
        <f t="shared" si="6"/>
        <v>22</v>
      </c>
      <c r="AA13" s="184">
        <f t="shared" si="6"/>
        <v>8</v>
      </c>
      <c r="AB13" s="184">
        <f t="shared" si="6"/>
        <v>61</v>
      </c>
      <c r="AC13" s="184">
        <f t="shared" si="6"/>
        <v>0</v>
      </c>
      <c r="AD13" s="184">
        <f t="shared" si="6"/>
        <v>0</v>
      </c>
      <c r="AE13" s="184">
        <f t="shared" si="6"/>
        <v>0</v>
      </c>
      <c r="AF13" s="184">
        <f>SUBTOTAL(9,AF9:AF12)</f>
        <v>0</v>
      </c>
      <c r="AG13" s="184">
        <f t="shared" ref="AG13:AT13" si="7">SUBTOTAL(9,AG8:AG12)</f>
        <v>60</v>
      </c>
      <c r="AH13" s="184">
        <f t="shared" si="7"/>
        <v>12</v>
      </c>
      <c r="AI13" s="184">
        <f t="shared" si="7"/>
        <v>27</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2535</v>
      </c>
      <c r="AZ13" s="184">
        <f>SUBTOTAL(9,AZ8:AZ12)</f>
        <v>354</v>
      </c>
      <c r="BA13" s="184">
        <f>SUBTOTAL(9,BA8:BA12)</f>
        <v>416</v>
      </c>
      <c r="BB13" s="184">
        <f>SUBTOTAL(9,BB8:BB12)</f>
        <v>2473</v>
      </c>
      <c r="BC13" s="184">
        <f>SUBTOTAL(9,BC8:BC12)</f>
        <v>183</v>
      </c>
      <c r="BD13" s="205">
        <f>IF(ISNUMBER(BA13/AZ13),BA13/AZ13," - ")</f>
        <v>1.1751412429378532</v>
      </c>
      <c r="BE13" s="206">
        <f>IF(ISNUMBER(BB13/BA13),BB13/BA13, " - ")</f>
        <v>5.9447115384615383</v>
      </c>
      <c r="BF13" s="206">
        <f>IF(ISNUMBER(BC13/BA13),BC13/BA13, " - ")</f>
        <v>0.43990384615384615</v>
      </c>
      <c r="BG13" s="207">
        <f>IF(ISNUMBER((AY13+AZ13)/BA13),(AY13+AZ13)/BA13," - ")</f>
        <v>6.9447115384615383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1904</v>
      </c>
      <c r="J16" s="183">
        <v>678</v>
      </c>
      <c r="K16" s="183">
        <v>678</v>
      </c>
      <c r="L16" s="183">
        <v>1904</v>
      </c>
      <c r="M16" s="183">
        <v>80</v>
      </c>
      <c r="N16" s="183">
        <v>392</v>
      </c>
      <c r="O16" s="181">
        <v>0</v>
      </c>
      <c r="P16" s="183">
        <v>26</v>
      </c>
      <c r="Q16" s="183">
        <v>8</v>
      </c>
      <c r="R16" s="183">
        <v>108</v>
      </c>
      <c r="S16" s="183">
        <v>1608</v>
      </c>
      <c r="T16" s="183">
        <v>548</v>
      </c>
      <c r="U16" s="183">
        <v>577</v>
      </c>
      <c r="V16" s="183">
        <v>1579</v>
      </c>
      <c r="W16" s="183">
        <v>74</v>
      </c>
      <c r="X16" s="189">
        <v>414</v>
      </c>
      <c r="Y16" s="202">
        <v>0</v>
      </c>
      <c r="Z16" s="183">
        <v>0</v>
      </c>
      <c r="AA16" s="183">
        <v>0</v>
      </c>
      <c r="AB16" s="183">
        <v>0</v>
      </c>
      <c r="AC16" s="183">
        <v>1</v>
      </c>
      <c r="AD16" s="183">
        <v>0</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1608</v>
      </c>
      <c r="AZ16" s="127">
        <f t="shared" si="9"/>
        <v>548</v>
      </c>
      <c r="BA16" s="127">
        <f t="shared" si="9"/>
        <v>577</v>
      </c>
      <c r="BB16" s="127">
        <f t="shared" si="9"/>
        <v>1579</v>
      </c>
      <c r="BC16" s="125">
        <f>IF(ISNUMBER(W16),W16," - ")</f>
        <v>74</v>
      </c>
      <c r="BD16" s="126">
        <f t="shared" ref="BD16" si="11">IF(ISNUMBER(BA16/AZ16),BA16/AZ16," - ")</f>
        <v>1.052919708029197</v>
      </c>
      <c r="BE16" s="127">
        <f t="shared" ref="BE16" si="12">IF(ISNUMBER(BB16/BA16),BB16/BA16, " - ")</f>
        <v>2.7365684575389948</v>
      </c>
      <c r="BF16" s="127">
        <f t="shared" ref="BF16" si="13">IF(ISNUMBER(BC16/BA16),BC16/BA16, " - ")</f>
        <v>0.12824956672443674</v>
      </c>
      <c r="BG16" s="196">
        <f t="shared" si="10"/>
        <v>3.7365684575389948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165</v>
      </c>
      <c r="J17" s="183">
        <v>73</v>
      </c>
      <c r="K17" s="183">
        <v>65</v>
      </c>
      <c r="L17" s="183">
        <v>173</v>
      </c>
      <c r="M17" s="183">
        <v>16</v>
      </c>
      <c r="N17" s="183">
        <v>33</v>
      </c>
      <c r="O17" s="183">
        <v>0</v>
      </c>
      <c r="P17" s="183">
        <v>0</v>
      </c>
      <c r="Q17" s="183">
        <v>0</v>
      </c>
      <c r="R17" s="183">
        <v>0</v>
      </c>
      <c r="S17" s="183">
        <v>86</v>
      </c>
      <c r="T17" s="183">
        <v>68</v>
      </c>
      <c r="U17" s="183">
        <v>59</v>
      </c>
      <c r="V17" s="183">
        <v>95</v>
      </c>
      <c r="W17" s="183">
        <v>23</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86</v>
      </c>
      <c r="AZ17" s="129">
        <f t="shared" si="14"/>
        <v>68</v>
      </c>
      <c r="BA17" s="129">
        <f t="shared" si="14"/>
        <v>59</v>
      </c>
      <c r="BB17" s="129">
        <f t="shared" si="14"/>
        <v>95</v>
      </c>
      <c r="BC17" s="125">
        <f>IF(ISNUMBER(W17),W17," - ")</f>
        <v>23</v>
      </c>
      <c r="BD17" s="126">
        <f>IF(ISNUMBER(BA17/AZ17),BA17/AZ17," - ")</f>
        <v>0.86764705882352944</v>
      </c>
      <c r="BE17" s="127">
        <f>IF(ISNUMBER(BB17/BA17),BB17/BA17, " - ")</f>
        <v>1.6101694915254237</v>
      </c>
      <c r="BF17" s="127">
        <f>IF(ISNUMBER(BC17/BA17),BC17/BA17, " - ")</f>
        <v>0.38983050847457629</v>
      </c>
      <c r="BG17" s="196">
        <f>IF(ISNUMBER((AY17+AZ17)/BA17),(AY17+AZ17)/BA17," - ")</f>
        <v>2.6101694915254239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2069</v>
      </c>
      <c r="J18" s="184">
        <f t="shared" si="15"/>
        <v>751</v>
      </c>
      <c r="K18" s="184">
        <f t="shared" si="15"/>
        <v>743</v>
      </c>
      <c r="L18" s="184">
        <f t="shared" si="15"/>
        <v>2077</v>
      </c>
      <c r="M18" s="184">
        <f t="shared" si="15"/>
        <v>96</v>
      </c>
      <c r="N18" s="184">
        <f t="shared" si="15"/>
        <v>425</v>
      </c>
      <c r="O18" s="184">
        <f t="shared" si="15"/>
        <v>0</v>
      </c>
      <c r="P18" s="184">
        <f t="shared" si="15"/>
        <v>26</v>
      </c>
      <c r="Q18" s="184">
        <f t="shared" si="15"/>
        <v>8</v>
      </c>
      <c r="R18" s="184">
        <f t="shared" si="15"/>
        <v>108</v>
      </c>
      <c r="S18" s="184">
        <f t="shared" si="15"/>
        <v>1694</v>
      </c>
      <c r="T18" s="184">
        <f t="shared" si="15"/>
        <v>616</v>
      </c>
      <c r="U18" s="184">
        <f t="shared" si="15"/>
        <v>636</v>
      </c>
      <c r="V18" s="184">
        <f t="shared" si="15"/>
        <v>1674</v>
      </c>
      <c r="W18" s="184">
        <f t="shared" si="15"/>
        <v>97</v>
      </c>
      <c r="X18" s="184">
        <f t="shared" si="15"/>
        <v>458</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1694</v>
      </c>
      <c r="AZ18" s="184">
        <f>SUBTOTAL(9,AZ14:AZ17)</f>
        <v>616</v>
      </c>
      <c r="BA18" s="184">
        <f>SUBTOTAL(9,BA14:BA17)</f>
        <v>636</v>
      </c>
      <c r="BB18" s="184">
        <f>SUBTOTAL(9,BB14:BB17)</f>
        <v>1674</v>
      </c>
      <c r="BC18" s="184">
        <f>SUBTOTAL(9,BC14:BC17)</f>
        <v>97</v>
      </c>
      <c r="BD18" s="205">
        <f>IF(ISNUMBER(BA18/AZ18),BA18/AZ18," - ")</f>
        <v>1.0324675324675325</v>
      </c>
      <c r="BE18" s="206">
        <f>IF(ISNUMBER(BB18/BA18),BB18/BA18, " - ")</f>
        <v>2.6320754716981134</v>
      </c>
      <c r="BF18" s="206">
        <f>IF(ISNUMBER(BC18/BA18),BC18/BA18, " - ")</f>
        <v>0.15251572327044025</v>
      </c>
      <c r="BG18" s="207">
        <f>IF(ISNUMBER((AY18+AZ18)/BA18),(AY18+AZ18)/BA18," - ")</f>
        <v>3.6320754716981134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4685</v>
      </c>
      <c r="J19" s="134">
        <f t="shared" si="18"/>
        <v>1644</v>
      </c>
      <c r="K19" s="134">
        <f t="shared" si="18"/>
        <v>1245</v>
      </c>
      <c r="L19" s="134">
        <f t="shared" si="18"/>
        <v>5084</v>
      </c>
      <c r="M19" s="134">
        <f t="shared" si="18"/>
        <v>237</v>
      </c>
      <c r="N19" s="134">
        <f t="shared" si="18"/>
        <v>648</v>
      </c>
      <c r="O19" s="134">
        <f t="shared" si="18"/>
        <v>163</v>
      </c>
      <c r="P19" s="134">
        <f t="shared" si="18"/>
        <v>151</v>
      </c>
      <c r="Q19" s="134">
        <f t="shared" si="18"/>
        <v>69</v>
      </c>
      <c r="R19" s="134">
        <f t="shared" si="18"/>
        <v>2627</v>
      </c>
      <c r="S19" s="134">
        <f t="shared" si="18"/>
        <v>4169</v>
      </c>
      <c r="T19" s="134">
        <f t="shared" si="18"/>
        <v>958</v>
      </c>
      <c r="U19" s="134">
        <f t="shared" si="18"/>
        <v>1025</v>
      </c>
      <c r="V19" s="134">
        <f t="shared" si="18"/>
        <v>4102</v>
      </c>
      <c r="W19" s="134">
        <f t="shared" si="18"/>
        <v>258</v>
      </c>
      <c r="X19" s="134">
        <f t="shared" si="18"/>
        <v>641</v>
      </c>
      <c r="Y19" s="134">
        <f t="shared" si="18"/>
        <v>47</v>
      </c>
      <c r="Z19" s="134">
        <f t="shared" si="18"/>
        <v>22</v>
      </c>
      <c r="AA19" s="134">
        <f t="shared" si="18"/>
        <v>8</v>
      </c>
      <c r="AB19" s="134">
        <f t="shared" si="18"/>
        <v>61</v>
      </c>
      <c r="AC19" s="134">
        <f t="shared" si="18"/>
        <v>1</v>
      </c>
      <c r="AD19" s="134">
        <f t="shared" si="18"/>
        <v>0</v>
      </c>
      <c r="AE19" s="134">
        <f t="shared" si="18"/>
        <v>1</v>
      </c>
      <c r="AF19" s="134">
        <f t="shared" si="18"/>
        <v>0</v>
      </c>
      <c r="AG19" s="134">
        <f t="shared" si="18"/>
        <v>60</v>
      </c>
      <c r="AH19" s="134">
        <f t="shared" si="18"/>
        <v>12</v>
      </c>
      <c r="AI19" s="134">
        <f t="shared" si="18"/>
        <v>27</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4229</v>
      </c>
      <c r="AZ19" s="134">
        <f>SUBTOTAL(9,AZ9:AZ18)</f>
        <v>970</v>
      </c>
      <c r="BA19" s="134">
        <f>SUBTOTAL(9,BA9:BA18)</f>
        <v>1052</v>
      </c>
      <c r="BB19" s="134">
        <f>SUBTOTAL(9,BB9:BB18)</f>
        <v>4147</v>
      </c>
      <c r="BC19" s="135">
        <f>SUBTOTAL(9,BC9:BC18)</f>
        <v>280</v>
      </c>
      <c r="BD19" s="213">
        <f>IF(ISNUMBER(BA19/AZ19),BA19/AZ19," - ")</f>
        <v>1.0845360824742267</v>
      </c>
      <c r="BE19" s="210">
        <f>IF(ISNUMBER(BB19/BA19),BB19/BA19, " - ")</f>
        <v>3.9420152091254752</v>
      </c>
      <c r="BF19" s="210">
        <f>IF(ISNUMBER(BC19/BA19),BC19/BA19, " - ")</f>
        <v>0.26615969581749049</v>
      </c>
      <c r="BG19" s="135">
        <f>IF(ISNUMBER((AY19+AZ19)/BA19),(AY19+AZ19)/BA19," - ")</f>
        <v>4.9420152091254756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dsYPJ8nCvD+gJ2GjVLsNUShXmqzKyGPuTaSt04Fa0rqikaS+hvdvTlGLy2Q6QpAxFgAhJkLgL/mnkR/PNzA==" saltValue="QOFE5zxg7pXMu/bL0+MH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Bjn/m2PMSjM6/J+RIrJwHjyMixCXVXFuzsd5FYb/+lHuAycAvO2TAJ/X8+l+5wYzMd2o9VFvO0917H9FfOsRQ==" saltValue="mA3oN3831LvgS8zOXCZ+9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MOGUER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125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61</v>
      </c>
      <c r="AI12" s="334" t="str">
        <f>IF(ISNUMBER(Datos!CD12),Datos!CD12,"-")</f>
        <v>-</v>
      </c>
      <c r="AJ12" s="334" t="str">
        <f>IF(ISNUMBER(Datos!EN12),Datos!EN12," - ")</f>
        <v xml:space="preserve"> - </v>
      </c>
      <c r="AK12" s="334"/>
      <c r="AL12" s="479"/>
      <c r="AM12" s="335">
        <f>IF(ISNUMBER(Datos!R12),Datos!R12," - ")</f>
        <v>2519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141</v>
      </c>
      <c r="BD12" s="229">
        <f>IF(ISNUMBER(Datos!N12),Datos!N12," - ")</f>
        <v>223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0.55798687089715537</v>
      </c>
      <c r="BH12" s="260">
        <f>IF(ISNUMBER(((IF(J_V="SI",Datos!L12/Datos!K12,(Datos!L12+Datos!AB12)/(Datos!K12+Datos!AA12)))*11)/factor_trimestre),((IF(J_V="SI",Datos!L12/Datos!K12,(Datos!L12+Datos!AB12)/(Datos!K12+Datos!AA12)))*11)/factor_trimestre," - ")</f>
        <v>18.041176470588237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2.6069246435845215E-2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125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61</v>
      </c>
      <c r="AD13" s="899">
        <f t="shared" si="1"/>
        <v>0</v>
      </c>
      <c r="AE13" s="899">
        <f t="shared" si="1"/>
        <v>0</v>
      </c>
      <c r="AF13" s="899">
        <f t="shared" si="1"/>
        <v>1</v>
      </c>
      <c r="AG13" s="899">
        <f t="shared" si="1"/>
        <v>0</v>
      </c>
      <c r="AH13" s="899">
        <f t="shared" si="1"/>
        <v>61</v>
      </c>
      <c r="AI13" s="899">
        <f t="shared" si="1"/>
        <v>0</v>
      </c>
      <c r="AJ13" s="899">
        <f t="shared" si="1"/>
        <v>0</v>
      </c>
      <c r="AK13" s="899">
        <f t="shared" si="1"/>
        <v>0</v>
      </c>
      <c r="AL13" s="899">
        <f t="shared" si="1"/>
        <v>0</v>
      </c>
      <c r="AM13" s="899">
        <f t="shared" si="1"/>
        <v>2519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v>
      </c>
      <c r="BD13" s="899">
        <f t="shared" si="1"/>
        <v>223</v>
      </c>
      <c r="BE13" s="899">
        <f t="shared" si="1"/>
        <v>0</v>
      </c>
      <c r="BF13" s="899">
        <f t="shared" si="1"/>
        <v>0</v>
      </c>
      <c r="BG13" s="899">
        <f>IF(ISNUMBER(Datos!K13/Datos!J13),Datos!K13/Datos!J13," - ")</f>
        <v>0.5621500559910414</v>
      </c>
      <c r="BH13" s="903">
        <f>IF(ISNUMBER(((Datos!L13/Datos!K13)*11)/factor_trimestre),((Datos!L13/Datos!K13)*11)/factor_trimestre," - ")</f>
        <v>17.970119521912348</v>
      </c>
      <c r="BI13" s="899">
        <f>IF(ISNUMBER('Resol  Asuntos'!D13/NºAsuntos!G13),'Resol  Asuntos'!D13/NºAsuntos!G13," - ")</f>
        <v>0.27647058823529413</v>
      </c>
      <c r="BJ13" s="899" t="str">
        <f>IF(ISNUMBER(Datos!CI13/Datos!CJ13),Datos!CI13/Datos!CJ13," - ")</f>
        <v xml:space="preserve"> - </v>
      </c>
      <c r="BK13" s="899">
        <f>SUBTOTAL(9,BK8:BK12)</f>
        <v>0</v>
      </c>
      <c r="BL13" s="899" t="str">
        <f>IF(ISNUMBER((I13-AB13+L13)/(F13)),(I13-AB13+L13)/(F13)," - ")</f>
        <v xml:space="preserve"> - </v>
      </c>
      <c r="BM13" s="904">
        <f>SUBTOTAL(9,BM9:BM12)</f>
        <v>2.6069246435845215E-2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1904</v>
      </c>
      <c r="G16" s="598">
        <f>IF(ISNUMBER(IF(D_I="SI",Datos!I16,Datos!I16+Datos!AC16)),IF(D_I="SI",Datos!I16,Datos!I16+Datos!AC16)," - ")</f>
        <v>1904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678</v>
      </c>
      <c r="AC16" s="226">
        <f>IF(ISNUMBER(Datos!Q16),Datos!Q16," - ")</f>
        <v>8</v>
      </c>
      <c r="AD16" s="334"/>
      <c r="AE16" s="484"/>
      <c r="AF16" s="596">
        <f>IF(ISNUMBER(IF(D_I="SI",Datos!L16,Datos!L16+Datos!AF16)),IF(D_I="SI",Datos!L16,Datos!L16+Datos!AF16)," - ")</f>
        <v>1904</v>
      </c>
      <c r="AG16" s="334"/>
      <c r="AH16" s="334"/>
      <c r="AI16" s="334"/>
      <c r="AJ16" s="334"/>
      <c r="AK16" s="334"/>
      <c r="AL16" s="479"/>
      <c r="AM16" s="335">
        <f>IF(ISNUMBER(Datos!R16),Datos!R16," - ")</f>
        <v>108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v>
      </c>
      <c r="BD16" s="229">
        <f>IF(ISNUMBER(Datos!N16),Datos!N16," - ")</f>
        <v>392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8.4247787610619476</v>
      </c>
      <c r="BI16" s="243">
        <f>IF(ISNUMBER('Resol  Asuntos'!D16/NºAsuntos!G16),'Resol  Asuntos'!D16/NºAsuntos!G16," - ")</f>
        <v>0.11799410029498525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65</v>
      </c>
      <c r="AC17" s="226">
        <f>IF(ISNUMBER(Datos!Q17),Datos!Q17," - ")</f>
        <v>0</v>
      </c>
      <c r="AD17" s="334"/>
      <c r="AE17" s="484"/>
      <c r="AF17" s="332">
        <f>IF(ISNUMBER(Datos!L17),Datos!L17,"-")</f>
        <v>173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0.8904109589041096</v>
      </c>
      <c r="BH17" s="260">
        <f>IF(ISNUMBER(((IF(D_I="SI",Datos!L17/Datos!K17,(Datos!L17+Datos!AF17)/(Datos!K17+Datos!AE17)))*11)/factor_trimestre),((IF(D_I="SI",Datos!L17/Datos!K17,(Datos!L17+Datos!AF17)/(Datos!K17+Datos!AE17)))*11)/factor_trimestre," - ")</f>
        <v>7.9846153846153847</v>
      </c>
      <c r="BI17" s="243">
        <f>IF(ISNUMBER('Resol  Asuntos'!D17/NºAsuntos!G17),'Resol  Asuntos'!D17/NºAsuntos!G17," - ")</f>
        <v>0.24615384615384617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1904</v>
      </c>
      <c r="G18" s="898">
        <f>SUBTOTAL(9,G15:G17)</f>
        <v>2069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743</v>
      </c>
      <c r="AC18" s="899">
        <f t="shared" si="4"/>
        <v>8</v>
      </c>
      <c r="AD18" s="899">
        <f t="shared" si="4"/>
        <v>0</v>
      </c>
      <c r="AE18" s="899">
        <f t="shared" si="4"/>
        <v>0</v>
      </c>
      <c r="AF18" s="899">
        <f t="shared" si="4"/>
        <v>2077</v>
      </c>
      <c r="AG18" s="899">
        <f t="shared" si="4"/>
        <v>0</v>
      </c>
      <c r="AH18" s="899">
        <f t="shared" si="4"/>
        <v>0</v>
      </c>
      <c r="AI18" s="899">
        <f t="shared" si="4"/>
        <v>0</v>
      </c>
      <c r="AJ18" s="899">
        <f t="shared" si="4"/>
        <v>0</v>
      </c>
      <c r="AK18" s="899">
        <f t="shared" si="4"/>
        <v>0</v>
      </c>
      <c r="AL18" s="899">
        <f t="shared" si="4"/>
        <v>0</v>
      </c>
      <c r="AM18" s="899">
        <f t="shared" si="4"/>
        <v>108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96</v>
      </c>
      <c r="BD18" s="899">
        <f t="shared" si="4"/>
        <v>425</v>
      </c>
      <c r="BE18" s="899">
        <f t="shared" si="4"/>
        <v>0</v>
      </c>
      <c r="BF18" s="899">
        <f t="shared" si="4"/>
        <v>0</v>
      </c>
      <c r="BG18" s="899">
        <f>IF(ISNUMBER(Datos!K18/Datos!J18),Datos!K18/Datos!J18," - ")</f>
        <v>0.98934753661784292</v>
      </c>
      <c r="BH18" s="903">
        <f>IF(ISNUMBER(((Datos!L18/Datos!K18)*11)/factor_trimestre),((Datos!L18/Datos!K18)*11)/factor_trimestre," - ")</f>
        <v>8.3862718707940793</v>
      </c>
      <c r="BI18" s="899">
        <f>SUBTOTAL(9,BI15:BI17)</f>
        <v>0.36414794644883142</v>
      </c>
      <c r="BJ18" s="899">
        <f>SUBTOTAL(9,BJ15:BJ17)</f>
        <v>0</v>
      </c>
      <c r="BK18" s="899">
        <f>SUBTOTAL(9,BK15:BK17)</f>
        <v>0</v>
      </c>
      <c r="BL18" s="899">
        <f>IF(ISNUMBER((I18-AB18+L18)/(F18)),(I18-AB18+L18)/(F18)," - ")</f>
        <v>-0.39023109243697479</v>
      </c>
      <c r="BM18" s="905">
        <f>IF(ISNUMBER((Datos!P18-Datos!Q18)/(Datos!R18-Datos!P18+Datos!Q18)),(Datos!P18-Datos!Q18)/(Datos!R18-Datos!P18+Datos!Q18)," - ")</f>
        <v>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1904</v>
      </c>
      <c r="G19" s="820">
        <f t="shared" si="6"/>
        <v>2069</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151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743</v>
      </c>
      <c r="AC19" s="821">
        <f t="shared" si="7"/>
        <v>69</v>
      </c>
      <c r="AD19" s="821">
        <f t="shared" si="7"/>
        <v>0</v>
      </c>
      <c r="AE19" s="821">
        <f t="shared" si="7"/>
        <v>0</v>
      </c>
      <c r="AF19" s="828">
        <f t="shared" si="7"/>
        <v>2078</v>
      </c>
      <c r="AG19" s="828">
        <f t="shared" si="7"/>
        <v>0</v>
      </c>
      <c r="AH19" s="828">
        <f t="shared" si="7"/>
        <v>61</v>
      </c>
      <c r="AI19" s="828">
        <f t="shared" si="7"/>
        <v>0</v>
      </c>
      <c r="AJ19" s="821">
        <f t="shared" si="7"/>
        <v>0</v>
      </c>
      <c r="AK19" s="828">
        <f t="shared" si="7"/>
        <v>0</v>
      </c>
      <c r="AL19" s="828">
        <f t="shared" si="7"/>
        <v>0</v>
      </c>
      <c r="AM19" s="828">
        <f t="shared" si="7"/>
        <v>2627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237</v>
      </c>
      <c r="BD19" s="820">
        <f t="shared" si="7"/>
        <v>648</v>
      </c>
      <c r="BE19" s="820">
        <f t="shared" si="7"/>
        <v>0</v>
      </c>
      <c r="BF19" s="830">
        <f t="shared" si="7"/>
        <v>0</v>
      </c>
      <c r="BG19" s="915">
        <f>IF(ISNUMBER(Datos!K19/Datos!J19),Datos!K19/Datos!J19," - ")</f>
        <v>0.75729927007299269</v>
      </c>
      <c r="BH19" s="915">
        <f>IF(ISNUMBER(((Datos!L19/Datos!K19)*11)/factor_trimestre),((Datos!L19/Datos!K19)*11)/factor_trimestre," - ")</f>
        <v>12.250602409638553</v>
      </c>
      <c r="BI19" s="813">
        <f>IF(ISNUMBER(Datos!J19/Datos!I19),Datos!J19/Datos!I19," - ")</f>
        <v>0.35090715048025611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-0.39023109243697479</v>
      </c>
      <c r="BM19" s="889">
        <f>IF(ISNUMBER((Datos!P19-Datos!Q19+R19)/(Datos!R19-Datos!P19+Datos!Q19-R19)),(Datos!P19-Datos!Q19+R19)/(Datos!R19-Datos!P19+Datos!Q19-R19)," - ")</f>
        <v>3.2220039292730845E-2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1099.2749125370474</v>
      </c>
      <c r="G21" s="552">
        <f>IF(ISNUMBER(STDEV(G8:G18)),STDEV(G8:G18),"-")</f>
        <v>1061.6724071011736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378.91912065769395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60.312519430048681</v>
      </c>
      <c r="BD21" s="551"/>
      <c r="BE21" s="551">
        <f>IF(ISNUMBER(STDEV(BE8:BE18)),STDEV(BE8:BE18),"-")</f>
        <v>0</v>
      </c>
      <c r="BF21" s="556">
        <f>IF(ISNUMBER(STDEV(BF8:BF18)),STDEV(BF8:BF18),"-")</f>
        <v>0</v>
      </c>
      <c r="BG21" s="775">
        <f>IF(ISNUMBER(STDEV(BG8:BG18)),STDEV(BG8:BG18),"-")</f>
        <v>0.38274665923812184</v>
      </c>
      <c r="BH21" s="776">
        <f>IF(ISNUMBER(STDEV(BH8:BH18)),STDEV(BH8:BH18),"-")</f>
        <v>5.3378941125353601</v>
      </c>
      <c r="BI21" s="249">
        <f>IF(ISNUMBER(STDEV(BI8:BI18)),STDEV(BI8:BI18),"-")</f>
        <v>0.10192336392399398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D12xvtQVlxFFy46Y9mj8/NZ+2hARH7Uiu47t5+W36FlyDWtnfUoR+vfaRCaEXX4ui4BTPhNJcSozzt/vVkSog==" saltValue="uDq6DBLDPpAYXDYnfmQu6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MOGUER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2519</v>
      </c>
      <c r="AF12" s="229" t="str">
        <f>IF(ISNUMBER(Datos!BV12),Datos!BV12," - ")</f>
        <v xml:space="preserve"> - </v>
      </c>
      <c r="AG12" s="225" t="str">
        <f>IF(ISNUMBER(Datos!DV12),Datos!DV12," - ")</f>
        <v xml:space="preserve"> - </v>
      </c>
      <c r="AH12" s="298"/>
      <c r="AI12" s="227"/>
      <c r="AJ12" s="225">
        <f>IF(ISNUMBER(Datos!M12),Datos!M12," - ")</f>
        <v>141</v>
      </c>
      <c r="AK12" s="229">
        <f>IF(ISNUMBER(Datos!N12),Datos!N12," - ")</f>
        <v>223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18.041176470588237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2.6069246435845215E-2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61</v>
      </c>
      <c r="AA13" s="900">
        <f t="shared" si="2"/>
        <v>1</v>
      </c>
      <c r="AB13" s="900">
        <f t="shared" si="2"/>
        <v>0</v>
      </c>
      <c r="AC13" s="900">
        <f t="shared" si="2"/>
        <v>0</v>
      </c>
      <c r="AD13" s="900">
        <f t="shared" si="2"/>
        <v>0</v>
      </c>
      <c r="AE13" s="900">
        <f t="shared" si="2"/>
        <v>2519</v>
      </c>
      <c r="AF13" s="908">
        <f t="shared" si="2"/>
        <v>0</v>
      </c>
      <c r="AG13" s="908">
        <f t="shared" si="2"/>
        <v>0</v>
      </c>
      <c r="AH13" s="908">
        <f t="shared" si="2"/>
        <v>0</v>
      </c>
      <c r="AI13" s="908">
        <f t="shared" si="2"/>
        <v>0</v>
      </c>
      <c r="AJ13" s="908">
        <f t="shared" si="2"/>
        <v>141</v>
      </c>
      <c r="AK13" s="908">
        <f t="shared" si="2"/>
        <v>223</v>
      </c>
      <c r="AL13" s="908">
        <f t="shared" si="2"/>
        <v>0</v>
      </c>
      <c r="AM13" s="908">
        <f t="shared" si="2"/>
        <v>0</v>
      </c>
      <c r="AN13" s="908">
        <f t="shared" si="2"/>
        <v>0</v>
      </c>
      <c r="AO13" s="904">
        <f>IF(ISNUMBER(((NºAsuntos!I13/NºAsuntos!G13)*11)/factor_trimestre),((NºAsuntos!I13/NºAsuntos!G13)*11)/factor_trimestre," - ")</f>
        <v>18.047058823529412</v>
      </c>
      <c r="AP13" s="910" t="str">
        <f>IF(ISNUMBER(Datos!CI13/Datos!CJ13),Datos!CI13/Datos!CJ13," - ")</f>
        <v xml:space="preserve"> - </v>
      </c>
      <c r="AQ13" s="928">
        <f t="shared" ref="AQ13:AV13" si="3">SUBTOTAL(9,AQ9:AQ12)</f>
        <v>0</v>
      </c>
      <c r="AR13" s="928">
        <f t="shared" si="3"/>
        <v>2.6069246435845215E-2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1904</v>
      </c>
      <c r="G16" s="225">
        <f>IF(ISNUMBER(IF(D_I="SI",Datos!I16,Datos!I16+Datos!AC16)),IF(D_I="SI",Datos!I16,Datos!I16+Datos!AC16)," - ")</f>
        <v>1904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678</v>
      </c>
      <c r="Z16" s="619">
        <f>IF(ISNUMBER(Datos!Q16),Datos!Q16," - ")</f>
        <v>8</v>
      </c>
      <c r="AA16" s="332">
        <f>IF(ISNUMBER(IF(D_I="SI",Datos!L16,Datos!L16+Datos!AF16)),IF(D_I="SI",Datos!L16,Datos!L16+Datos!AF16)," - ")</f>
        <v>1904</v>
      </c>
      <c r="AB16" s="334"/>
      <c r="AC16" s="334"/>
      <c r="AD16" s="484"/>
      <c r="AE16" s="484">
        <f>IF(ISNUMBER(Datos!R16),Datos!R16," - ")</f>
        <v>108</v>
      </c>
      <c r="AF16" s="229" t="str">
        <f>IF(ISNUMBER(Datos!BV16),Datos!BV16," - ")</f>
        <v xml:space="preserve"> - </v>
      </c>
      <c r="AG16" s="225"/>
      <c r="AH16" s="298"/>
      <c r="AI16" s="227"/>
      <c r="AJ16" s="225">
        <f>IF(ISNUMBER(Datos!M16),Datos!M16," - ")</f>
        <v>80</v>
      </c>
      <c r="AK16" s="229">
        <f>IF(ISNUMBER(Datos!N16),Datos!N16," - ")</f>
        <v>392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8.4247787610619476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65</v>
      </c>
      <c r="Z17" s="619">
        <f>IF(ISNUMBER(Datos!Q17),Datos!Q17," - ")</f>
        <v>0</v>
      </c>
      <c r="AA17" s="332">
        <f>IF(ISNUMBER(Datos!L17),Datos!L17,"-")</f>
        <v>173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7.9846153846153847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1904</v>
      </c>
      <c r="G18" s="898">
        <f>SUBTOTAL(9,G15:G17)</f>
        <v>2069</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743</v>
      </c>
      <c r="Z18" s="932">
        <f t="shared" si="5"/>
        <v>8</v>
      </c>
      <c r="AA18" s="932">
        <f t="shared" si="5"/>
        <v>2077</v>
      </c>
      <c r="AB18" s="932">
        <f t="shared" si="5"/>
        <v>0</v>
      </c>
      <c r="AC18" s="932">
        <f t="shared" si="5"/>
        <v>0</v>
      </c>
      <c r="AD18" s="932">
        <f t="shared" si="5"/>
        <v>0</v>
      </c>
      <c r="AE18" s="932">
        <f t="shared" si="5"/>
        <v>108</v>
      </c>
      <c r="AF18" s="932">
        <f t="shared" si="5"/>
        <v>0</v>
      </c>
      <c r="AG18" s="932">
        <f t="shared" si="5"/>
        <v>0</v>
      </c>
      <c r="AH18" s="932">
        <f t="shared" si="5"/>
        <v>0</v>
      </c>
      <c r="AI18" s="932">
        <f t="shared" si="5"/>
        <v>0</v>
      </c>
      <c r="AJ18" s="932">
        <f t="shared" si="5"/>
        <v>96</v>
      </c>
      <c r="AK18" s="932">
        <f t="shared" si="5"/>
        <v>425</v>
      </c>
      <c r="AL18" s="932">
        <f t="shared" si="5"/>
        <v>0</v>
      </c>
      <c r="AM18" s="932">
        <f t="shared" si="5"/>
        <v>0</v>
      </c>
      <c r="AN18" s="932">
        <f t="shared" si="5"/>
        <v>0</v>
      </c>
      <c r="AO18" s="934">
        <f>IF(ISNUMBER(((NºAsuntos!I18/NºAsuntos!G18)*11)/factor_trimestre),((NºAsuntos!I18/NºAsuntos!G18)*11)/factor_trimestre," - ")</f>
        <v>8.3862718707940793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1904</v>
      </c>
      <c r="G19" s="820">
        <f t="shared" si="7"/>
        <v>2069</v>
      </c>
      <c r="H19" s="821">
        <f t="shared" si="7"/>
        <v>0</v>
      </c>
      <c r="I19" s="820">
        <f t="shared" si="7"/>
        <v>0</v>
      </c>
      <c r="J19" s="822">
        <f t="shared" si="7"/>
        <v>0</v>
      </c>
      <c r="K19" s="820">
        <f t="shared" si="7"/>
        <v>0</v>
      </c>
      <c r="L19" s="823">
        <f t="shared" si="7"/>
        <v>0</v>
      </c>
      <c r="M19" s="820">
        <f t="shared" si="7"/>
        <v>0</v>
      </c>
      <c r="N19" s="821">
        <f t="shared" si="7"/>
        <v>151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743</v>
      </c>
      <c r="Z19" s="827">
        <f t="shared" si="8"/>
        <v>69</v>
      </c>
      <c r="AA19" s="828">
        <f t="shared" si="8"/>
        <v>2078</v>
      </c>
      <c r="AB19" s="828">
        <f t="shared" si="8"/>
        <v>0</v>
      </c>
      <c r="AC19" s="828">
        <f t="shared" si="8"/>
        <v>0</v>
      </c>
      <c r="AD19" s="829">
        <f t="shared" si="8"/>
        <v>0</v>
      </c>
      <c r="AE19" s="829">
        <f t="shared" si="8"/>
        <v>2627</v>
      </c>
      <c r="AF19" s="830">
        <f t="shared" si="8"/>
        <v>0</v>
      </c>
      <c r="AG19" s="831">
        <f t="shared" si="8"/>
        <v>0</v>
      </c>
      <c r="AH19" s="832">
        <f t="shared" si="8"/>
        <v>0</v>
      </c>
      <c r="AI19" s="830">
        <f t="shared" si="8"/>
        <v>0</v>
      </c>
      <c r="AJ19" s="820">
        <f t="shared" si="8"/>
        <v>237</v>
      </c>
      <c r="AK19" s="820">
        <f t="shared" si="8"/>
        <v>648</v>
      </c>
      <c r="AL19" s="820">
        <f t="shared" si="8"/>
        <v>0</v>
      </c>
      <c r="AM19" s="833">
        <f t="shared" si="8"/>
        <v>0</v>
      </c>
      <c r="AN19" s="823">
        <f>IF(ISNUMBER(Datos!K19/Datos!J19),Datos!K19/Datos!J19," - ")</f>
        <v>0.75729927007299269</v>
      </c>
      <c r="AO19" s="823">
        <f>IF(ISNUMBER(FIND("06",Criterios!A8,1)),(IF(ISNUMBER(((Datos!R19/Datos!Q19)*11)/factor_trimestre),((Datos!R19/Datos!Q19)*11)/factor_trimestre," - ")),(IF(ISNUMBER(((Datos!L19/Datos!K19)*11)/factor_trimestre),((Datos!L19/Datos!K19)*11)/factor_trimestre," - ")))</f>
        <v>12.250602409638553</v>
      </c>
      <c r="AP19" s="834" t="str">
        <f>IF(ISNUMBER(Datos!CI19/Datos!CJ19),Datos!CI19/Datos!CJ19," - ")</f>
        <v xml:space="preserve"> - </v>
      </c>
      <c r="AQ19" s="834">
        <f>IF(OR(ISNUMBER(FIND("01",Criterios!A8,1)),ISNUMBER(FIND("02",Criterios!A8,1)),ISNUMBER(FIND("03",Criterios!A8,1)),ISNUMBER(FIND("04",Criterios!A8,1))),(J19-Y19+K19)/(F19-K19),(I19-Y19+K19)/(F19-K19))</f>
        <v>-0.39023109243697479</v>
      </c>
      <c r="AR19" s="834">
        <f>IF(ISNUMBER((Datos!P19-Datos!Q19+O19)/(Datos!R19-Datos!P19+Datos!Q19-O19)),(Datos!P19-Datos!Q19+O19)/(Datos!R19-Datos!P19+Datos!Q19-O19)," - ")</f>
        <v>3.2220039292730845E-2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1099.2749125370474</v>
      </c>
      <c r="G21" s="552">
        <f>IF(ISNUMBER(STDEV(G8:G18)),STDEV(G8:G18),"-")</f>
        <v>1061.6724071011736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60.312519430048681</v>
      </c>
      <c r="AK21" s="252"/>
      <c r="AL21" s="252">
        <f>IF(ISNUMBER(STDEV(AL8:AL18)),STDEV(AL8:AL18),"-")</f>
        <v>0</v>
      </c>
      <c r="AM21" s="254">
        <f>IF(ISNUMBER(STDEV(AM8:AM18)),STDEV(AM8:AM18),"-")</f>
        <v>0</v>
      </c>
      <c r="AN21" s="539">
        <f>IF(ISNUMBER(STDEV(AN8:AN18)),STDEV(AN8:AN18),"-")</f>
        <v>0</v>
      </c>
      <c r="AO21" s="540">
        <f>IF(ISNUMBER(STDEV(AO8:AO18)),STDEV(AO8:AO18),"-")</f>
        <v>5.3588951465595303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2jgabb+FYMy8IJqwIBlD08tMxq8MVDTQa4M9x9vszf86cBx97zB+5hKuyt4XYMHML+bagfDgyt6MWNqm9oDjQw==" saltValue="q1bjE9fcm6PwsCFSPusU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155TNNyfdaQISeaT3hXQROxULwDJfSma/bX1dttB+yK/7cUFmazn/9EG/0uvzpAannUNGdOl0Wl1nf1WdNOrg==" saltValue="KobAvPkGrdTQ2EOucuDQ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l20z1jGo8pDvBl7wyi9IgkkXSM8ZK9DswPFAkpkljlwlRg4btFTQ6rzo88NGojVo0oO7mhZtfpQrD3WsnL7g==" saltValue="ePntvOkNnzdpn+6GE1Z4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MOGUER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0.27647058823529413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0.19549422773981021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9XPN7KbHddNQFzof8f5eK66TWcKQPb8dcjfu9oh7p1vNeN7KAeOQjl5ZNnrdTQ/52sfdqXzMKE0TfgJlGjI5iQ==" saltValue="Uik3/3C2ConBk4LQE0ts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6COidXvUUXkx8nHQtMdAiteyc+owEAyQsQLOfymlfEid5pHROHqeo7dkb0Nv7o6t0ef8imSEBQNHeU3PcjpcA==" saltValue="IaCtwaq/H9XelNU2+3LG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MOGUER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141</v>
      </c>
      <c r="AM12" s="690">
        <f>IF(ISNUMBER(Datos!N12+DatosP!N16),Datos!N12+DatosP!N16," - ")</f>
        <v>223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18.041176470588237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2.6069246435845215E-2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61</v>
      </c>
      <c r="AE13" s="939">
        <f t="shared" si="1"/>
        <v>0</v>
      </c>
      <c r="AF13" s="939">
        <f t="shared" si="1"/>
        <v>1</v>
      </c>
      <c r="AG13" s="939">
        <f t="shared" si="1"/>
        <v>0</v>
      </c>
      <c r="AH13" s="939">
        <f t="shared" si="1"/>
        <v>2519</v>
      </c>
      <c r="AI13" s="939">
        <f t="shared" si="1"/>
        <v>0</v>
      </c>
      <c r="AJ13" s="939">
        <f t="shared" si="1"/>
        <v>0</v>
      </c>
      <c r="AK13" s="939">
        <f t="shared" si="1"/>
        <v>0</v>
      </c>
      <c r="AL13" s="939">
        <f t="shared" si="1"/>
        <v>141</v>
      </c>
      <c r="AM13" s="939">
        <f t="shared" si="1"/>
        <v>223</v>
      </c>
      <c r="AN13" s="939">
        <f t="shared" si="1"/>
        <v>0</v>
      </c>
      <c r="AO13" s="939">
        <f t="shared" si="1"/>
        <v>0</v>
      </c>
      <c r="AP13" s="944">
        <f>IF(ISNUMBER(((Datos!L13/Datos!K13)*11)/factor_trimestre),((Datos!L13/Datos!K13)*11)/factor_trimestre," - ")</f>
        <v>17.970119521912348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2.6069246435845215E-2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8.3862718707940793</v>
      </c>
      <c r="AQ18" s="944">
        <f>IF(ISNUMBER(((Datos!M18/Datos!L18)*11)/factor_trimestre),((Datos!M18/Datos!L18)*11)/factor_trimestre," - ")</f>
        <v>0.1386615310544054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v>
      </c>
      <c r="AW18" s="946">
        <f>IF(ISNUMBER((Datos!Q18-Datos!R18)/(Datos!S18-Datos!Q18+Datos!R18)),(Datos!Q18-Datos!R18)/(Datos!S18-Datos!Q18+Datos!R18)," - ")</f>
        <v>-5.5741360089186176E-2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61</v>
      </c>
      <c r="AE19" s="957">
        <f t="shared" si="5"/>
        <v>0</v>
      </c>
      <c r="AF19" s="958">
        <f t="shared" si="5"/>
        <v>1</v>
      </c>
      <c r="AG19" s="958">
        <f t="shared" si="5"/>
        <v>0</v>
      </c>
      <c r="AH19" s="958">
        <f t="shared" si="5"/>
        <v>2519</v>
      </c>
      <c r="AI19" s="958">
        <f t="shared" si="5"/>
        <v>0</v>
      </c>
      <c r="AJ19" s="959">
        <f t="shared" si="5"/>
        <v>0</v>
      </c>
      <c r="AK19" s="959">
        <f t="shared" si="5"/>
        <v>0</v>
      </c>
      <c r="AL19" s="951">
        <f t="shared" si="5"/>
        <v>141</v>
      </c>
      <c r="AM19" s="951">
        <f t="shared" si="5"/>
        <v>223</v>
      </c>
      <c r="AN19" s="951">
        <f t="shared" si="5"/>
        <v>0</v>
      </c>
      <c r="AO19" s="951">
        <f t="shared" si="5"/>
        <v>0</v>
      </c>
      <c r="AP19" s="951">
        <f>IF(ISNUMBER(((Datos!L19/Datos!K19)*11)/factor_trimestre),((Datos!L19/Datos!K19)*11)/factor_trimestre," - ")</f>
        <v>12.250602409638553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3.2220039292730845E-2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81.40638795573723</v>
      </c>
      <c r="AM21" s="736"/>
      <c r="AN21" s="736">
        <f>IF(ISNUMBER(STDEV(AN8:AN18)),STDEV(AN8:AN18),"-")</f>
        <v>0</v>
      </c>
      <c r="AO21" s="742">
        <f>IF(ISNUMBER(STDEV(AO8:AO18)),STDEV(AO8:AO18),"-")</f>
        <v>0</v>
      </c>
      <c r="AP21" s="779">
        <f>IF(ISNUMBER(STDEV(AP8:AP18)),STDEV(AP8:AP18),"-")</f>
        <v>5.5538630357755876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xK1iQU7KDRTgD2JhxMrKGBDeVmnFQChVNb1ntDmHyJtAokqbOCCRPvSLFkhEyex6gKhDDLAUz75Lawwdz59gQ==" saltValue="+hN8TjbQhYvMXl7mBbi5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